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\Documents\ADMIN\site content\"/>
    </mc:Choice>
  </mc:AlternateContent>
  <bookViews>
    <workbookView xWindow="0" yWindow="0" windowWidth="25200" windowHeight="11250" tabRatio="867" firstSheet="1" activeTab="4"/>
  </bookViews>
  <sheets>
    <sheet name="Upload" sheetId="43" state="hidden" r:id="rId1"/>
    <sheet name="COV" sheetId="18" r:id="rId2"/>
    <sheet name="contents" sheetId="55" r:id="rId3"/>
    <sheet name="budget" sheetId="3" r:id="rId4"/>
    <sheet name="yrlycomp" sheetId="2" r:id="rId5"/>
    <sheet name="income" sheetId="4" r:id="rId6"/>
    <sheet name="EXP-Pie" sheetId="29" r:id="rId7"/>
    <sheet name="Payroll" sheetId="54" r:id="rId8"/>
    <sheet name="Heating" sheetId="50" r:id="rId9"/>
    <sheet name="Electric &amp; Gas" sheetId="46" r:id="rId10"/>
    <sheet name="other Operating" sheetId="9" r:id="rId11"/>
    <sheet name="Other operating 2" sheetId="11" r:id="rId12"/>
    <sheet name="wtrswr-new" sheetId="53" r:id="rId13"/>
    <sheet name="CAP" sheetId="56" r:id="rId14"/>
  </sheets>
  <externalReferences>
    <externalReference r:id="rId15"/>
    <externalReference r:id="rId16"/>
    <externalReference r:id="rId17"/>
  </externalReferences>
  <definedNames>
    <definedName name="\P" localSheetId="7">'[1]2013 bud'!#REF!</definedName>
    <definedName name="\P">budget!#REF!</definedName>
    <definedName name="_xlnm._FilterDatabase" localSheetId="0" hidden="1">Upload!$A$6:$T$232</definedName>
    <definedName name="ADMIN" localSheetId="7">#REF!</definedName>
    <definedName name="ADMIN">#REF!</definedName>
    <definedName name="BUDGET">budget!$A$1:$G$56</definedName>
    <definedName name="COMP">yrlycomp!$A$1:$J$57</definedName>
    <definedName name="CONTENTS" localSheetId="2">contents!$A$1:$F$31</definedName>
    <definedName name="CONTENTS" localSheetId="7">#REF!</definedName>
    <definedName name="CONTENTS">#REF!</definedName>
    <definedName name="d" localSheetId="13">#REF!</definedName>
    <definedName name="d" localSheetId="2">#REF!</definedName>
    <definedName name="d" localSheetId="7">#REF!</definedName>
    <definedName name="d">#REF!</definedName>
    <definedName name="ELECT" localSheetId="13">#REF!</definedName>
    <definedName name="ELECT" localSheetId="2">#REF!</definedName>
    <definedName name="ELECT" localSheetId="7">#REF!</definedName>
    <definedName name="ELECT" localSheetId="12">#REF!</definedName>
    <definedName name="ELECT">#REF!</definedName>
    <definedName name="FRANCH" localSheetId="7">#REF!</definedName>
    <definedName name="FRANCH">#REF!</definedName>
    <definedName name="GASHEAT" localSheetId="7">#REF!</definedName>
    <definedName name="GASHEAT">#REF!</definedName>
    <definedName name="INCOME" localSheetId="7">#REF!</definedName>
    <definedName name="INCOME">income!$A$1:$M$39</definedName>
    <definedName name="INS">'Other operating 2'!$A$1:$D$26</definedName>
    <definedName name="MGMT" localSheetId="7">#REF!</definedName>
    <definedName name="MGMT">#REF!</definedName>
    <definedName name="MTG" localSheetId="7">#REF!</definedName>
    <definedName name="MTG">#REF!</definedName>
    <definedName name="OIL" localSheetId="7">#REF!</definedName>
    <definedName name="OIL">#REF!</definedName>
    <definedName name="_xlnm.Print_Area" localSheetId="3">budget!$A$1:$G$54</definedName>
    <definedName name="_xlnm.Print_Area" localSheetId="13">CAP!$A$1:$H$24</definedName>
    <definedName name="_xlnm.Print_Area" localSheetId="2">contents!$A$1:$G$44</definedName>
    <definedName name="_xlnm.Print_Area" localSheetId="1">COV!$B$2:$H$39</definedName>
    <definedName name="_xlnm.Print_Area" localSheetId="9">'Electric &amp; Gas'!$A$1:$N$100</definedName>
    <definedName name="_xlnm.Print_Area" localSheetId="8">Heating!$A$1:$G$93</definedName>
    <definedName name="_xlnm.Print_Area" localSheetId="5">income!$B$1:$H$50</definedName>
    <definedName name="_xlnm.Print_Area" localSheetId="10">'other Operating'!$A$1:$J$56</definedName>
    <definedName name="_xlnm.Print_Area" localSheetId="11">'Other operating 2'!$A$1:$J$29</definedName>
    <definedName name="_xlnm.Print_Area" localSheetId="7">Payroll!$A$1:$M$40</definedName>
    <definedName name="_xlnm.Print_Area" localSheetId="12">'wtrswr-new'!$A$1:$J$28</definedName>
    <definedName name="_xlnm.Print_Area" localSheetId="4">yrlycomp!$A$1:$J$58</definedName>
    <definedName name="_xlnm.Print_Area">[2]RET!$A$7:$N$38</definedName>
    <definedName name="_xlnm.Print_Titles">#N/A</definedName>
    <definedName name="PROF" localSheetId="7">#REF!</definedName>
    <definedName name="PROF">#REF!</definedName>
    <definedName name="PRPYRL" localSheetId="7">#REF!</definedName>
    <definedName name="PRPYRL">#REF!</definedName>
    <definedName name="PYRL" localSheetId="13">#REF!</definedName>
    <definedName name="PYRL" localSheetId="2">#REF!</definedName>
    <definedName name="PYRL" localSheetId="7">#REF!</definedName>
    <definedName name="PYRL" localSheetId="12">#REF!</definedName>
    <definedName name="PYRL">#REF!</definedName>
    <definedName name="RETAX" localSheetId="13">#REF!</definedName>
    <definedName name="RETAX" localSheetId="2">#REF!</definedName>
    <definedName name="RETAX" localSheetId="7">#REF!</definedName>
    <definedName name="RETAX" localSheetId="12">#REF!</definedName>
    <definedName name="RETAX">#REF!</definedName>
    <definedName name="RPRS">'other Operating'!$B$1:$J$41</definedName>
    <definedName name="WTRSWR" localSheetId="7">#REF!</definedName>
    <definedName name="WTRSWR">#REF!</definedName>
  </definedNames>
  <calcPr calcId="162913" concurrentCalc="0"/>
</workbook>
</file>

<file path=xl/calcChain.xml><?xml version="1.0" encoding="utf-8"?>
<calcChain xmlns="http://schemas.openxmlformats.org/spreadsheetml/2006/main">
  <c r="H10" i="2" l="1"/>
  <c r="F9" i="2"/>
  <c r="F14" i="2"/>
  <c r="F13" i="56"/>
  <c r="E150" i="43"/>
  <c r="E191" i="43"/>
  <c r="Q191" i="43"/>
  <c r="P191" i="43"/>
  <c r="O191" i="43"/>
  <c r="N191" i="43"/>
  <c r="M191" i="43"/>
  <c r="L191" i="43"/>
  <c r="K191" i="43"/>
  <c r="J191" i="43"/>
  <c r="I191" i="43"/>
  <c r="H191" i="43"/>
  <c r="G191" i="43"/>
  <c r="F191" i="43"/>
  <c r="E197" i="43"/>
  <c r="Q197" i="43"/>
  <c r="P197" i="43"/>
  <c r="O197" i="43"/>
  <c r="N197" i="43"/>
  <c r="M197" i="43"/>
  <c r="L197" i="43"/>
  <c r="K197" i="43"/>
  <c r="J197" i="43"/>
  <c r="I197" i="43"/>
  <c r="H197" i="43"/>
  <c r="G197" i="43"/>
  <c r="F197" i="43"/>
  <c r="F127" i="43"/>
  <c r="E14" i="4"/>
  <c r="E16" i="4"/>
  <c r="E18" i="4"/>
  <c r="E22" i="4"/>
  <c r="F22" i="4"/>
  <c r="J9" i="2"/>
  <c r="D6" i="3"/>
  <c r="D8" i="3"/>
  <c r="B7" i="54"/>
  <c r="I7" i="54"/>
  <c r="I11" i="54"/>
  <c r="G14" i="54"/>
  <c r="I14" i="54"/>
  <c r="B8" i="54"/>
  <c r="J8" i="54"/>
  <c r="J11" i="54"/>
  <c r="J14" i="54"/>
  <c r="B9" i="54"/>
  <c r="K9" i="54"/>
  <c r="K11" i="54"/>
  <c r="K14" i="54"/>
  <c r="B10" i="54"/>
  <c r="L10" i="54"/>
  <c r="L11" i="54"/>
  <c r="L14" i="54"/>
  <c r="M14" i="54"/>
  <c r="I16" i="54"/>
  <c r="J16" i="54"/>
  <c r="K16" i="54"/>
  <c r="M16" i="54"/>
  <c r="M18" i="54"/>
  <c r="I18" i="54"/>
  <c r="I21" i="54"/>
  <c r="J18" i="54"/>
  <c r="J21" i="54"/>
  <c r="K18" i="54"/>
  <c r="K21" i="54"/>
  <c r="L18" i="54"/>
  <c r="L21" i="54"/>
  <c r="M21" i="54"/>
  <c r="I22" i="54"/>
  <c r="J22" i="54"/>
  <c r="K22" i="54"/>
  <c r="L22" i="54"/>
  <c r="M22" i="54"/>
  <c r="I23" i="54"/>
  <c r="J23" i="54"/>
  <c r="K23" i="54"/>
  <c r="L23" i="54"/>
  <c r="M23" i="54"/>
  <c r="M24" i="54"/>
  <c r="I25" i="54"/>
  <c r="J25" i="54"/>
  <c r="K25" i="54"/>
  <c r="L25" i="54"/>
  <c r="M25" i="54"/>
  <c r="I26" i="54"/>
  <c r="J26" i="54"/>
  <c r="K26" i="54"/>
  <c r="L26" i="54"/>
  <c r="M26" i="54"/>
  <c r="I27" i="54"/>
  <c r="M27" i="54"/>
  <c r="M28" i="54"/>
  <c r="M30" i="54"/>
  <c r="K36" i="54"/>
  <c r="J14" i="2"/>
  <c r="F71" i="50"/>
  <c r="D87" i="50"/>
  <c r="D89" i="50"/>
  <c r="C71" i="50"/>
  <c r="D88" i="50"/>
  <c r="D90" i="50"/>
  <c r="D71" i="50"/>
  <c r="E71" i="50"/>
  <c r="F72" i="50"/>
  <c r="C72" i="50"/>
  <c r="D72" i="50"/>
  <c r="E72" i="50"/>
  <c r="F73" i="50"/>
  <c r="C73" i="50"/>
  <c r="D73" i="50"/>
  <c r="E73" i="50"/>
  <c r="F74" i="50"/>
  <c r="C74" i="50"/>
  <c r="D74" i="50"/>
  <c r="E74" i="50"/>
  <c r="F75" i="50"/>
  <c r="C75" i="50"/>
  <c r="D75" i="50"/>
  <c r="E75" i="50"/>
  <c r="F76" i="50"/>
  <c r="C76" i="50"/>
  <c r="D76" i="50"/>
  <c r="E76" i="50"/>
  <c r="F77" i="50"/>
  <c r="C77" i="50"/>
  <c r="D77" i="50"/>
  <c r="E77" i="50"/>
  <c r="F78" i="50"/>
  <c r="C78" i="50"/>
  <c r="D78" i="50"/>
  <c r="E78" i="50"/>
  <c r="F31" i="50"/>
  <c r="F79" i="50"/>
  <c r="C79" i="50"/>
  <c r="D79" i="50"/>
  <c r="E79" i="50"/>
  <c r="F80" i="50"/>
  <c r="C80" i="50"/>
  <c r="D80" i="50"/>
  <c r="E80" i="50"/>
  <c r="F65" i="50"/>
  <c r="F81" i="50"/>
  <c r="C81" i="50"/>
  <c r="D81" i="50"/>
  <c r="E81" i="50"/>
  <c r="F50" i="50"/>
  <c r="F66" i="50"/>
  <c r="F82" i="50"/>
  <c r="C82" i="50"/>
  <c r="D82" i="50"/>
  <c r="E82" i="50"/>
  <c r="E83" i="50"/>
  <c r="J15" i="2"/>
  <c r="F76" i="46"/>
  <c r="C76" i="46"/>
  <c r="D76" i="46"/>
  <c r="E76" i="46"/>
  <c r="F77" i="46"/>
  <c r="C77" i="46"/>
  <c r="D77" i="46"/>
  <c r="E77" i="46"/>
  <c r="F78" i="46"/>
  <c r="C78" i="46"/>
  <c r="D78" i="46"/>
  <c r="E78" i="46"/>
  <c r="F79" i="46"/>
  <c r="C79" i="46"/>
  <c r="D79" i="46"/>
  <c r="E79" i="46"/>
  <c r="F80" i="46"/>
  <c r="C80" i="46"/>
  <c r="D80" i="46"/>
  <c r="E80" i="46"/>
  <c r="F81" i="46"/>
  <c r="C81" i="46"/>
  <c r="D81" i="46"/>
  <c r="E81" i="46"/>
  <c r="F82" i="46"/>
  <c r="C82" i="46"/>
  <c r="D82" i="46"/>
  <c r="E82" i="46"/>
  <c r="F83" i="46"/>
  <c r="C83" i="46"/>
  <c r="D83" i="46"/>
  <c r="E83" i="46"/>
  <c r="F84" i="46"/>
  <c r="C84" i="46"/>
  <c r="D84" i="46"/>
  <c r="E84" i="46"/>
  <c r="F85" i="46"/>
  <c r="C85" i="46"/>
  <c r="D85" i="46"/>
  <c r="E85" i="46"/>
  <c r="F69" i="46"/>
  <c r="F86" i="46"/>
  <c r="C86" i="46"/>
  <c r="D86" i="46"/>
  <c r="E86" i="46"/>
  <c r="F70" i="46"/>
  <c r="F87" i="46"/>
  <c r="C87" i="46"/>
  <c r="D87" i="46"/>
  <c r="E87" i="46"/>
  <c r="E88" i="46"/>
  <c r="M76" i="46"/>
  <c r="K94" i="46"/>
  <c r="J76" i="46"/>
  <c r="K59" i="46"/>
  <c r="K60" i="46"/>
  <c r="K61" i="46"/>
  <c r="K62" i="46"/>
  <c r="K63" i="46"/>
  <c r="K64" i="46"/>
  <c r="K65" i="46"/>
  <c r="K66" i="46"/>
  <c r="K67" i="46"/>
  <c r="K68" i="46"/>
  <c r="M94" i="46"/>
  <c r="K76" i="46"/>
  <c r="L76" i="46"/>
  <c r="M77" i="46"/>
  <c r="J77" i="46"/>
  <c r="K77" i="46"/>
  <c r="L77" i="46"/>
  <c r="M78" i="46"/>
  <c r="J78" i="46"/>
  <c r="K78" i="46"/>
  <c r="L78" i="46"/>
  <c r="M79" i="46"/>
  <c r="J79" i="46"/>
  <c r="K79" i="46"/>
  <c r="L79" i="46"/>
  <c r="M80" i="46"/>
  <c r="J80" i="46"/>
  <c r="K80" i="46"/>
  <c r="L80" i="46"/>
  <c r="M81" i="46"/>
  <c r="J81" i="46"/>
  <c r="K81" i="46"/>
  <c r="L81" i="46"/>
  <c r="M82" i="46"/>
  <c r="J82" i="46"/>
  <c r="K82" i="46"/>
  <c r="L82" i="46"/>
  <c r="M83" i="46"/>
  <c r="J83" i="46"/>
  <c r="K83" i="46"/>
  <c r="L83" i="46"/>
  <c r="M33" i="46"/>
  <c r="M84" i="46"/>
  <c r="J84" i="46"/>
  <c r="K84" i="46"/>
  <c r="L84" i="46"/>
  <c r="M34" i="46"/>
  <c r="M85" i="46"/>
  <c r="J85" i="46"/>
  <c r="K85" i="46"/>
  <c r="L85" i="46"/>
  <c r="M69" i="46"/>
  <c r="M86" i="46"/>
  <c r="J86" i="46"/>
  <c r="K86" i="46"/>
  <c r="L86" i="46"/>
  <c r="M53" i="46"/>
  <c r="M70" i="46"/>
  <c r="M87" i="46"/>
  <c r="J87" i="46"/>
  <c r="K87" i="46"/>
  <c r="L87" i="46"/>
  <c r="L88" i="46"/>
  <c r="J16" i="2"/>
  <c r="E14" i="53"/>
  <c r="G14" i="53"/>
  <c r="G15" i="53"/>
  <c r="G16" i="53"/>
  <c r="A15" i="53"/>
  <c r="E15" i="53"/>
  <c r="A16" i="53"/>
  <c r="E16" i="53"/>
  <c r="C25" i="53"/>
  <c r="E18" i="53"/>
  <c r="G18" i="53"/>
  <c r="G21" i="53"/>
  <c r="I19" i="53"/>
  <c r="I21" i="53"/>
  <c r="J17" i="2"/>
  <c r="G13" i="9"/>
  <c r="H13" i="9"/>
  <c r="G17" i="9"/>
  <c r="H17" i="9"/>
  <c r="G21" i="9"/>
  <c r="H21" i="9"/>
  <c r="J21" i="9"/>
  <c r="G22" i="9"/>
  <c r="H22" i="9"/>
  <c r="J22" i="9"/>
  <c r="J29" i="9"/>
  <c r="J18" i="2"/>
  <c r="G38" i="9"/>
  <c r="H38" i="9"/>
  <c r="G39" i="9"/>
  <c r="H39" i="9"/>
  <c r="J39" i="9"/>
  <c r="J41" i="9"/>
  <c r="J19" i="2"/>
  <c r="G46" i="9"/>
  <c r="H46" i="9"/>
  <c r="G47" i="9"/>
  <c r="H47" i="9"/>
  <c r="J49" i="9"/>
  <c r="J20" i="2"/>
  <c r="J21" i="2"/>
  <c r="D13" i="11"/>
  <c r="G13" i="11"/>
  <c r="H13" i="11"/>
  <c r="J13" i="11"/>
  <c r="J22" i="2"/>
  <c r="J23" i="2"/>
  <c r="J24" i="2"/>
  <c r="D21" i="3"/>
  <c r="D23" i="3"/>
  <c r="O17" i="54"/>
  <c r="F26" i="3"/>
  <c r="D12" i="3"/>
  <c r="C71" i="3"/>
  <c r="D17" i="3"/>
  <c r="C76" i="3"/>
  <c r="H15" i="56"/>
  <c r="G15" i="56"/>
  <c r="E15" i="56"/>
  <c r="D15" i="56"/>
  <c r="F14" i="56"/>
  <c r="F12" i="56"/>
  <c r="F11" i="56"/>
  <c r="F10" i="56"/>
  <c r="F15" i="56"/>
  <c r="H35" i="2"/>
  <c r="E6" i="2"/>
  <c r="F6" i="2"/>
  <c r="C6" i="56"/>
  <c r="D3" i="56"/>
  <c r="D1" i="56"/>
  <c r="G7" i="53"/>
  <c r="I7" i="53"/>
  <c r="B19" i="53"/>
  <c r="D1" i="53"/>
  <c r="D15" i="11"/>
  <c r="H15" i="11"/>
  <c r="H23" i="2"/>
  <c r="G23" i="2"/>
  <c r="D11" i="11"/>
  <c r="G11" i="11"/>
  <c r="E9" i="11"/>
  <c r="D7" i="11"/>
  <c r="E2" i="11"/>
  <c r="I49" i="9"/>
  <c r="F49" i="9"/>
  <c r="E49" i="9"/>
  <c r="G48" i="9"/>
  <c r="H48" i="9"/>
  <c r="G45" i="9"/>
  <c r="G44" i="9"/>
  <c r="G49" i="9"/>
  <c r="H44" i="9"/>
  <c r="D16" i="3"/>
  <c r="C75" i="3"/>
  <c r="I41" i="9"/>
  <c r="G32" i="9"/>
  <c r="H32" i="9"/>
  <c r="G33" i="9"/>
  <c r="H33" i="9"/>
  <c r="G34" i="9"/>
  <c r="H34" i="9"/>
  <c r="G35" i="9"/>
  <c r="H35" i="9"/>
  <c r="G36" i="9"/>
  <c r="H36" i="9"/>
  <c r="G37" i="9"/>
  <c r="H37" i="9"/>
  <c r="G40" i="9"/>
  <c r="H40" i="9"/>
  <c r="H41" i="9"/>
  <c r="G41" i="9"/>
  <c r="F41" i="9"/>
  <c r="E41" i="9"/>
  <c r="D41" i="9"/>
  <c r="I29" i="9"/>
  <c r="G9" i="9"/>
  <c r="H9" i="9"/>
  <c r="G10" i="9"/>
  <c r="H10" i="9"/>
  <c r="G11" i="9"/>
  <c r="H11" i="9"/>
  <c r="G12" i="9"/>
  <c r="H12" i="9"/>
  <c r="G14" i="9"/>
  <c r="H14" i="9"/>
  <c r="G15" i="9"/>
  <c r="H15" i="9"/>
  <c r="G16" i="9"/>
  <c r="H16" i="9"/>
  <c r="H18" i="9"/>
  <c r="H19" i="9"/>
  <c r="D20" i="9"/>
  <c r="G20" i="9"/>
  <c r="H20" i="9"/>
  <c r="G23" i="9"/>
  <c r="H23" i="9"/>
  <c r="G24" i="9"/>
  <c r="H24" i="9"/>
  <c r="G25" i="9"/>
  <c r="H25" i="9"/>
  <c r="H26" i="9"/>
  <c r="G27" i="9"/>
  <c r="H27" i="9"/>
  <c r="G28" i="9"/>
  <c r="H28" i="9"/>
  <c r="H29" i="9"/>
  <c r="G29" i="9"/>
  <c r="F29" i="9"/>
  <c r="E29" i="9"/>
  <c r="D29" i="9"/>
  <c r="B16" i="9"/>
  <c r="D6" i="9"/>
  <c r="H6" i="9"/>
  <c r="B1" i="9"/>
  <c r="E1" i="11"/>
  <c r="J96" i="46"/>
  <c r="A96" i="46"/>
  <c r="M88" i="46"/>
  <c r="N88" i="46"/>
  <c r="K88" i="46"/>
  <c r="J88" i="46"/>
  <c r="F88" i="46"/>
  <c r="G88" i="46"/>
  <c r="D88" i="46"/>
  <c r="C88" i="46"/>
  <c r="K42" i="46"/>
  <c r="L42" i="46"/>
  <c r="K43" i="46"/>
  <c r="L43" i="46"/>
  <c r="K44" i="46"/>
  <c r="L44" i="46"/>
  <c r="K45" i="46"/>
  <c r="L45" i="46"/>
  <c r="K46" i="46"/>
  <c r="L46" i="46"/>
  <c r="K47" i="46"/>
  <c r="L47" i="46"/>
  <c r="K48" i="46"/>
  <c r="L48" i="46"/>
  <c r="K49" i="46"/>
  <c r="L49" i="46"/>
  <c r="K50" i="46"/>
  <c r="L50" i="46"/>
  <c r="K51" i="46"/>
  <c r="L51" i="46"/>
  <c r="K52" i="46"/>
  <c r="L52" i="46"/>
  <c r="J53" i="46"/>
  <c r="K53" i="46"/>
  <c r="L53" i="46"/>
  <c r="L54" i="46"/>
  <c r="M54" i="46"/>
  <c r="N54" i="46"/>
  <c r="N76" i="46"/>
  <c r="N77" i="46"/>
  <c r="N78" i="46"/>
  <c r="N79" i="46"/>
  <c r="N80" i="46"/>
  <c r="N81" i="46"/>
  <c r="N82" i="46"/>
  <c r="N83" i="46"/>
  <c r="N84" i="46"/>
  <c r="N85" i="46"/>
  <c r="N86" i="46"/>
  <c r="N87" i="46"/>
  <c r="G87" i="46"/>
  <c r="G86" i="46"/>
  <c r="G85" i="46"/>
  <c r="G84" i="46"/>
  <c r="G83" i="46"/>
  <c r="G82" i="46"/>
  <c r="G81" i="46"/>
  <c r="G80" i="46"/>
  <c r="G79" i="46"/>
  <c r="G78" i="46"/>
  <c r="G77" i="46"/>
  <c r="G76" i="46"/>
  <c r="C74" i="46"/>
  <c r="L59" i="46"/>
  <c r="L60" i="46"/>
  <c r="L61" i="46"/>
  <c r="L62" i="46"/>
  <c r="L63" i="46"/>
  <c r="L64" i="46"/>
  <c r="L65" i="46"/>
  <c r="L66" i="46"/>
  <c r="L67" i="46"/>
  <c r="L68" i="46"/>
  <c r="J69" i="46"/>
  <c r="K69" i="46"/>
  <c r="L69" i="46"/>
  <c r="J70" i="46"/>
  <c r="K70" i="46"/>
  <c r="L70" i="46"/>
  <c r="L71" i="46"/>
  <c r="M71" i="46"/>
  <c r="N71" i="46"/>
  <c r="K71" i="46"/>
  <c r="J71" i="46"/>
  <c r="E59" i="46"/>
  <c r="E60" i="46"/>
  <c r="E61" i="46"/>
  <c r="E62" i="46"/>
  <c r="E63" i="46"/>
  <c r="E64" i="46"/>
  <c r="E65" i="46"/>
  <c r="E66" i="46"/>
  <c r="E67" i="46"/>
  <c r="D68" i="46"/>
  <c r="E68" i="46"/>
  <c r="C69" i="46"/>
  <c r="D69" i="46"/>
  <c r="E69" i="46"/>
  <c r="C70" i="46"/>
  <c r="D70" i="46"/>
  <c r="E70" i="46"/>
  <c r="E71" i="46"/>
  <c r="F71" i="46"/>
  <c r="G71" i="46"/>
  <c r="D71" i="46"/>
  <c r="C71" i="46"/>
  <c r="N67" i="46"/>
  <c r="N68" i="46"/>
  <c r="N69" i="46"/>
  <c r="N70" i="46"/>
  <c r="G70" i="46"/>
  <c r="G69" i="46"/>
  <c r="G68" i="46"/>
  <c r="G67" i="46"/>
  <c r="N66" i="46"/>
  <c r="G66" i="46"/>
  <c r="N65" i="46"/>
  <c r="G65" i="46"/>
  <c r="N64" i="46"/>
  <c r="G64" i="46"/>
  <c r="N63" i="46"/>
  <c r="G63" i="46"/>
  <c r="N62" i="46"/>
  <c r="G62" i="46"/>
  <c r="N61" i="46"/>
  <c r="G61" i="46"/>
  <c r="N60" i="46"/>
  <c r="G60" i="46"/>
  <c r="N59" i="46"/>
  <c r="G59" i="46"/>
  <c r="C57" i="46"/>
  <c r="K54" i="46"/>
  <c r="J54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F54" i="46"/>
  <c r="G54" i="46"/>
  <c r="D54" i="46"/>
  <c r="C54" i="46"/>
  <c r="N53" i="46"/>
  <c r="G53" i="46"/>
  <c r="N52" i="46"/>
  <c r="G52" i="46"/>
  <c r="N51" i="46"/>
  <c r="G51" i="46"/>
  <c r="N50" i="46"/>
  <c r="G50" i="46"/>
  <c r="N49" i="46"/>
  <c r="G49" i="46"/>
  <c r="N48" i="46"/>
  <c r="G48" i="46"/>
  <c r="N47" i="46"/>
  <c r="G47" i="46"/>
  <c r="N46" i="46"/>
  <c r="G46" i="46"/>
  <c r="N45" i="46"/>
  <c r="G45" i="46"/>
  <c r="N44" i="46"/>
  <c r="G44" i="46"/>
  <c r="N43" i="46"/>
  <c r="G43" i="46"/>
  <c r="N42" i="46"/>
  <c r="G42" i="46"/>
  <c r="C40" i="46"/>
  <c r="L25" i="46"/>
  <c r="L26" i="46"/>
  <c r="L27" i="46"/>
  <c r="L28" i="46"/>
  <c r="L29" i="46"/>
  <c r="L30" i="46"/>
  <c r="L31" i="46"/>
  <c r="L32" i="46"/>
  <c r="J33" i="46"/>
  <c r="L33" i="46"/>
  <c r="J34" i="46"/>
  <c r="K34" i="46"/>
  <c r="L34" i="46"/>
  <c r="K35" i="46"/>
  <c r="L35" i="46"/>
  <c r="K36" i="46"/>
  <c r="L36" i="46"/>
  <c r="L37" i="46"/>
  <c r="M37" i="46"/>
  <c r="N37" i="46"/>
  <c r="K37" i="46"/>
  <c r="J37" i="46"/>
  <c r="D25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F37" i="46"/>
  <c r="G37" i="46"/>
  <c r="D37" i="46"/>
  <c r="C37" i="46"/>
  <c r="N36" i="46"/>
  <c r="G36" i="46"/>
  <c r="N35" i="46"/>
  <c r="G35" i="46"/>
  <c r="N34" i="46"/>
  <c r="G34" i="46"/>
  <c r="N33" i="46"/>
  <c r="G33" i="46"/>
  <c r="N32" i="46"/>
  <c r="G32" i="46"/>
  <c r="N31" i="46"/>
  <c r="G31" i="46"/>
  <c r="N30" i="46"/>
  <c r="G30" i="46"/>
  <c r="N29" i="46"/>
  <c r="G29" i="46"/>
  <c r="N28" i="46"/>
  <c r="G28" i="46"/>
  <c r="N27" i="46"/>
  <c r="G27" i="46"/>
  <c r="N26" i="46"/>
  <c r="G26" i="46"/>
  <c r="N25" i="46"/>
  <c r="G25" i="46"/>
  <c r="C23" i="46"/>
  <c r="L8" i="46"/>
  <c r="L9" i="46"/>
  <c r="L10" i="46"/>
  <c r="L11" i="46"/>
  <c r="L12" i="46"/>
  <c r="L13" i="46"/>
  <c r="L14" i="46"/>
  <c r="L15" i="46"/>
  <c r="L16" i="46"/>
  <c r="J17" i="46"/>
  <c r="L17" i="46"/>
  <c r="L18" i="46"/>
  <c r="L19" i="46"/>
  <c r="L20" i="46"/>
  <c r="M16" i="46"/>
  <c r="M17" i="46"/>
  <c r="M20" i="46"/>
  <c r="N20" i="46"/>
  <c r="K20" i="46"/>
  <c r="J20" i="46"/>
  <c r="D8" i="46"/>
  <c r="E8" i="46"/>
  <c r="D9" i="46"/>
  <c r="E9" i="46"/>
  <c r="D10" i="46"/>
  <c r="E10" i="46"/>
  <c r="D11" i="46"/>
  <c r="E11" i="46"/>
  <c r="D12" i="46"/>
  <c r="E12" i="46"/>
  <c r="D13" i="46"/>
  <c r="E13" i="46"/>
  <c r="D14" i="46"/>
  <c r="E14" i="46"/>
  <c r="D15" i="46"/>
  <c r="E15" i="46"/>
  <c r="D16" i="46"/>
  <c r="E16" i="46"/>
  <c r="D17" i="46"/>
  <c r="E17" i="46"/>
  <c r="D18" i="46"/>
  <c r="E18" i="46"/>
  <c r="D19" i="46"/>
  <c r="E19" i="46"/>
  <c r="E20" i="46"/>
  <c r="F20" i="46"/>
  <c r="G20" i="46"/>
  <c r="D20" i="46"/>
  <c r="C20" i="46"/>
  <c r="N19" i="46"/>
  <c r="G19" i="46"/>
  <c r="N18" i="46"/>
  <c r="G18" i="46"/>
  <c r="N17" i="46"/>
  <c r="G17" i="46"/>
  <c r="N16" i="46"/>
  <c r="G16" i="46"/>
  <c r="N15" i="46"/>
  <c r="G15" i="46"/>
  <c r="N14" i="46"/>
  <c r="G14" i="46"/>
  <c r="N13" i="46"/>
  <c r="G13" i="46"/>
  <c r="N12" i="46"/>
  <c r="G12" i="46"/>
  <c r="N11" i="46"/>
  <c r="G11" i="46"/>
  <c r="N10" i="46"/>
  <c r="G10" i="46"/>
  <c r="N9" i="46"/>
  <c r="G9" i="46"/>
  <c r="N8" i="46"/>
  <c r="G8" i="46"/>
  <c r="F3" i="46"/>
  <c r="F2" i="46"/>
  <c r="F1" i="46"/>
  <c r="F83" i="50"/>
  <c r="G83" i="50"/>
  <c r="D83" i="50"/>
  <c r="C83" i="50"/>
  <c r="E39" i="50"/>
  <c r="E40" i="50"/>
  <c r="E41" i="50"/>
  <c r="E42" i="50"/>
  <c r="E43" i="50"/>
  <c r="E44" i="50"/>
  <c r="E45" i="50"/>
  <c r="E46" i="50"/>
  <c r="E47" i="50"/>
  <c r="E48" i="50"/>
  <c r="E49" i="50"/>
  <c r="C50" i="50"/>
  <c r="D50" i="50"/>
  <c r="E50" i="50"/>
  <c r="E51" i="50"/>
  <c r="F51" i="50"/>
  <c r="G51" i="50"/>
  <c r="G71" i="50"/>
  <c r="G72" i="50"/>
  <c r="G73" i="50"/>
  <c r="G74" i="50"/>
  <c r="G75" i="50"/>
  <c r="G76" i="50"/>
  <c r="G79" i="50"/>
  <c r="G80" i="50"/>
  <c r="G81" i="50"/>
  <c r="G82" i="50"/>
  <c r="E55" i="50"/>
  <c r="E56" i="50"/>
  <c r="E57" i="50"/>
  <c r="E58" i="50"/>
  <c r="E59" i="50"/>
  <c r="E60" i="50"/>
  <c r="E61" i="50"/>
  <c r="E62" i="50"/>
  <c r="E63" i="50"/>
  <c r="E64" i="50"/>
  <c r="C65" i="50"/>
  <c r="D65" i="50"/>
  <c r="E65" i="50"/>
  <c r="C66" i="50"/>
  <c r="D66" i="50"/>
  <c r="E66" i="50"/>
  <c r="E67" i="50"/>
  <c r="F67" i="50"/>
  <c r="G67" i="50"/>
  <c r="D67" i="50"/>
  <c r="C67" i="50"/>
  <c r="G64" i="50"/>
  <c r="G65" i="50"/>
  <c r="G66" i="50"/>
  <c r="G63" i="50"/>
  <c r="G62" i="50"/>
  <c r="G61" i="50"/>
  <c r="G60" i="50"/>
  <c r="G59" i="50"/>
  <c r="G58" i="50"/>
  <c r="G57" i="50"/>
  <c r="G56" i="50"/>
  <c r="G55" i="50"/>
  <c r="D51" i="50"/>
  <c r="C51" i="50"/>
  <c r="G50" i="50"/>
  <c r="G49" i="50"/>
  <c r="G48" i="50"/>
  <c r="G47" i="50"/>
  <c r="G45" i="50"/>
  <c r="G44" i="50"/>
  <c r="G43" i="50"/>
  <c r="G42" i="50"/>
  <c r="G41" i="50"/>
  <c r="G40" i="50"/>
  <c r="G39" i="50"/>
  <c r="E23" i="50"/>
  <c r="E24" i="50"/>
  <c r="E25" i="50"/>
  <c r="E26" i="50"/>
  <c r="E27" i="50"/>
  <c r="E28" i="50"/>
  <c r="C29" i="50"/>
  <c r="D29" i="50"/>
  <c r="E29" i="50"/>
  <c r="C30" i="50"/>
  <c r="D30" i="50"/>
  <c r="E30" i="50"/>
  <c r="C31" i="50"/>
  <c r="E31" i="50"/>
  <c r="D32" i="50"/>
  <c r="E32" i="50"/>
  <c r="E33" i="50"/>
  <c r="E34" i="50"/>
  <c r="E35" i="50"/>
  <c r="F35" i="50"/>
  <c r="G35" i="50"/>
  <c r="D35" i="50"/>
  <c r="C35" i="50"/>
  <c r="G34" i="50"/>
  <c r="G33" i="50"/>
  <c r="G32" i="50"/>
  <c r="G31" i="50"/>
  <c r="G28" i="50"/>
  <c r="G27" i="50"/>
  <c r="G26" i="50"/>
  <c r="G25" i="50"/>
  <c r="G24" i="50"/>
  <c r="G23" i="50"/>
  <c r="E7" i="50"/>
  <c r="E8" i="50"/>
  <c r="E9" i="50"/>
  <c r="E10" i="50"/>
  <c r="E11" i="50"/>
  <c r="E12" i="50"/>
  <c r="E13" i="50"/>
  <c r="E14" i="50"/>
  <c r="C15" i="50"/>
  <c r="E15" i="50"/>
  <c r="C16" i="50"/>
  <c r="E16" i="50"/>
  <c r="E17" i="50"/>
  <c r="E18" i="50"/>
  <c r="E19" i="50"/>
  <c r="F15" i="50"/>
  <c r="F19" i="50"/>
  <c r="G19" i="50"/>
  <c r="D19" i="50"/>
  <c r="C19" i="50"/>
  <c r="G18" i="50"/>
  <c r="G17" i="50"/>
  <c r="G16" i="50"/>
  <c r="G15" i="50"/>
  <c r="G12" i="50"/>
  <c r="G11" i="50"/>
  <c r="G10" i="50"/>
  <c r="G9" i="50"/>
  <c r="G8" i="50"/>
  <c r="G7" i="50"/>
  <c r="D3" i="50"/>
  <c r="D2" i="50"/>
  <c r="D1" i="50"/>
  <c r="N43" i="54"/>
  <c r="G36" i="54"/>
  <c r="H36" i="54"/>
  <c r="N34" i="54"/>
  <c r="O34" i="54"/>
  <c r="P34" i="54"/>
  <c r="G33" i="54"/>
  <c r="I33" i="54"/>
  <c r="P25" i="54"/>
  <c r="D57" i="54"/>
  <c r="P24" i="54"/>
  <c r="P29" i="54"/>
  <c r="B52" i="54"/>
  <c r="N52" i="54"/>
  <c r="B51" i="54"/>
  <c r="N51" i="54"/>
  <c r="M9" i="54"/>
  <c r="M6" i="54"/>
  <c r="E1" i="54"/>
  <c r="G39" i="4"/>
  <c r="G38" i="4"/>
  <c r="G37" i="4"/>
  <c r="G36" i="4"/>
  <c r="F35" i="4"/>
  <c r="G35" i="4"/>
  <c r="H30" i="4"/>
  <c r="G30" i="4"/>
  <c r="F28" i="4"/>
  <c r="F29" i="4"/>
  <c r="F30" i="4"/>
  <c r="E30" i="4"/>
  <c r="D30" i="4"/>
  <c r="I6" i="2"/>
  <c r="D26" i="4"/>
  <c r="E20" i="4"/>
  <c r="F20" i="4"/>
  <c r="F18" i="4"/>
  <c r="F16" i="4"/>
  <c r="F14" i="4"/>
  <c r="E10" i="4"/>
  <c r="F10" i="4"/>
  <c r="F11" i="4"/>
  <c r="F12" i="4"/>
  <c r="E12" i="4"/>
  <c r="F8" i="4"/>
  <c r="B1" i="4"/>
  <c r="J35" i="2"/>
  <c r="I35" i="2"/>
  <c r="I11" i="2"/>
  <c r="I24" i="2"/>
  <c r="I26" i="2"/>
  <c r="I32" i="2"/>
  <c r="E11" i="2"/>
  <c r="E24" i="2"/>
  <c r="E26" i="2"/>
  <c r="E32" i="2"/>
  <c r="D11" i="2"/>
  <c r="D24" i="2"/>
  <c r="D26" i="2"/>
  <c r="D32" i="2"/>
  <c r="C11" i="2"/>
  <c r="C14" i="2"/>
  <c r="C18" i="2"/>
  <c r="C19" i="2"/>
  <c r="C24" i="2"/>
  <c r="C26" i="2"/>
  <c r="C32" i="2"/>
  <c r="H31" i="2"/>
  <c r="H30" i="2"/>
  <c r="H29" i="2"/>
  <c r="G28" i="2"/>
  <c r="H28" i="2"/>
  <c r="K23" i="2"/>
  <c r="L23" i="2"/>
  <c r="D18" i="3"/>
  <c r="C77" i="3"/>
  <c r="H21" i="2"/>
  <c r="G21" i="2"/>
  <c r="H19" i="2"/>
  <c r="F19" i="2"/>
  <c r="H18" i="2"/>
  <c r="F18" i="2"/>
  <c r="H17" i="2"/>
  <c r="G17" i="2"/>
  <c r="H16" i="2"/>
  <c r="F16" i="2"/>
  <c r="H15" i="2"/>
  <c r="F11" i="2"/>
  <c r="H9" i="2"/>
  <c r="J6" i="2"/>
  <c r="H6" i="2"/>
  <c r="G6" i="2"/>
  <c r="A3" i="2"/>
  <c r="B3" i="4"/>
  <c r="A1" i="2"/>
  <c r="B69" i="3"/>
  <c r="C65" i="3"/>
  <c r="G47" i="3"/>
  <c r="G42" i="3"/>
  <c r="G49" i="3"/>
  <c r="D30" i="3"/>
  <c r="D29" i="3"/>
  <c r="B29" i="3"/>
  <c r="D28" i="3"/>
  <c r="B28" i="3"/>
  <c r="B21" i="3"/>
  <c r="B80" i="3"/>
  <c r="B20" i="3"/>
  <c r="B79" i="3"/>
  <c r="B19" i="3"/>
  <c r="B78" i="3"/>
  <c r="B18" i="3"/>
  <c r="B77" i="3"/>
  <c r="B17" i="3"/>
  <c r="B76" i="3"/>
  <c r="B16" i="3"/>
  <c r="B75" i="3"/>
  <c r="B15" i="3"/>
  <c r="B74" i="3"/>
  <c r="B14" i="3"/>
  <c r="B73" i="3"/>
  <c r="D13" i="3"/>
  <c r="C72" i="3"/>
  <c r="B13" i="3"/>
  <c r="B72" i="3"/>
  <c r="B12" i="3"/>
  <c r="B71" i="3"/>
  <c r="B11" i="3"/>
  <c r="B70" i="3"/>
  <c r="B8" i="3"/>
  <c r="B66" i="3"/>
  <c r="B7" i="3"/>
  <c r="B65" i="3"/>
  <c r="B6" i="3"/>
  <c r="B64" i="3"/>
  <c r="A1" i="3"/>
  <c r="F79" i="55"/>
  <c r="C3" i="55"/>
  <c r="C1" i="55"/>
  <c r="F32" i="18"/>
  <c r="R232" i="43"/>
  <c r="S232" i="43"/>
  <c r="R231" i="43"/>
  <c r="S231" i="43"/>
  <c r="R230" i="43"/>
  <c r="S230" i="43"/>
  <c r="R229" i="43"/>
  <c r="S229" i="43"/>
  <c r="R228" i="43"/>
  <c r="S228" i="43"/>
  <c r="R227" i="43"/>
  <c r="S227" i="43"/>
  <c r="R226" i="43"/>
  <c r="S226" i="43"/>
  <c r="R225" i="43"/>
  <c r="S225" i="43"/>
  <c r="R224" i="43"/>
  <c r="S224" i="43"/>
  <c r="R223" i="43"/>
  <c r="S223" i="43"/>
  <c r="R222" i="43"/>
  <c r="S222" i="43"/>
  <c r="R221" i="43"/>
  <c r="S221" i="43"/>
  <c r="R220" i="43"/>
  <c r="S220" i="43"/>
  <c r="R219" i="43"/>
  <c r="S219" i="43"/>
  <c r="R218" i="43"/>
  <c r="S218" i="43"/>
  <c r="R217" i="43"/>
  <c r="S217" i="43"/>
  <c r="R216" i="43"/>
  <c r="S216" i="43"/>
  <c r="E215" i="43"/>
  <c r="R214" i="43"/>
  <c r="S214" i="43"/>
  <c r="R213" i="43"/>
  <c r="S213" i="43"/>
  <c r="R212" i="43"/>
  <c r="S212" i="43"/>
  <c r="R211" i="43"/>
  <c r="S211" i="43"/>
  <c r="R210" i="43"/>
  <c r="S210" i="43"/>
  <c r="R209" i="43"/>
  <c r="S209" i="43"/>
  <c r="R208" i="43"/>
  <c r="S208" i="43"/>
  <c r="R207" i="43"/>
  <c r="S207" i="43"/>
  <c r="R206" i="43"/>
  <c r="S206" i="43"/>
  <c r="R205" i="43"/>
  <c r="S205" i="43"/>
  <c r="R204" i="43"/>
  <c r="S204" i="43"/>
  <c r="R203" i="43"/>
  <c r="S203" i="43"/>
  <c r="R202" i="43"/>
  <c r="S202" i="43"/>
  <c r="R201" i="43"/>
  <c r="S201" i="43"/>
  <c r="R200" i="43"/>
  <c r="S200" i="43"/>
  <c r="R199" i="43"/>
  <c r="S199" i="43"/>
  <c r="R198" i="43"/>
  <c r="S198" i="43"/>
  <c r="R197" i="43"/>
  <c r="S197" i="43"/>
  <c r="R196" i="43"/>
  <c r="S196" i="43"/>
  <c r="E195" i="43"/>
  <c r="R194" i="43"/>
  <c r="S194" i="43"/>
  <c r="R193" i="43"/>
  <c r="S193" i="43"/>
  <c r="R192" i="43"/>
  <c r="S192" i="43"/>
  <c r="R191" i="43"/>
  <c r="S191" i="43"/>
  <c r="E190" i="43"/>
  <c r="P190" i="43"/>
  <c r="E189" i="43"/>
  <c r="N189" i="43"/>
  <c r="E188" i="43"/>
  <c r="P188" i="43"/>
  <c r="E187" i="43"/>
  <c r="N187" i="43"/>
  <c r="R186" i="43"/>
  <c r="S186" i="43"/>
  <c r="E185" i="43"/>
  <c r="O185" i="43"/>
  <c r="R184" i="43"/>
  <c r="S184" i="43"/>
  <c r="R183" i="43"/>
  <c r="S183" i="43"/>
  <c r="E182" i="43"/>
  <c r="E181" i="43"/>
  <c r="R180" i="43"/>
  <c r="S180" i="43"/>
  <c r="R179" i="43"/>
  <c r="S179" i="43"/>
  <c r="R178" i="43"/>
  <c r="S178" i="43"/>
  <c r="R177" i="43"/>
  <c r="S177" i="43"/>
  <c r="E176" i="43"/>
  <c r="R175" i="43"/>
  <c r="S175" i="43"/>
  <c r="R174" i="43"/>
  <c r="S174" i="43"/>
  <c r="R173" i="43"/>
  <c r="S173" i="43"/>
  <c r="R172" i="43"/>
  <c r="S172" i="43"/>
  <c r="E171" i="43"/>
  <c r="R170" i="43"/>
  <c r="S170" i="43"/>
  <c r="R169" i="43"/>
  <c r="S169" i="43"/>
  <c r="R168" i="43"/>
  <c r="S168" i="43"/>
  <c r="R167" i="43"/>
  <c r="S167" i="43"/>
  <c r="R166" i="43"/>
  <c r="S166" i="43"/>
  <c r="E165" i="43"/>
  <c r="P165" i="43"/>
  <c r="R164" i="43"/>
  <c r="S164" i="43"/>
  <c r="R163" i="43"/>
  <c r="S163" i="43"/>
  <c r="R162" i="43"/>
  <c r="S162" i="43"/>
  <c r="E161" i="43"/>
  <c r="K161" i="43"/>
  <c r="E160" i="43"/>
  <c r="K160" i="43"/>
  <c r="R159" i="43"/>
  <c r="S159" i="43"/>
  <c r="E158" i="43"/>
  <c r="N158" i="43"/>
  <c r="E157" i="43"/>
  <c r="P157" i="43"/>
  <c r="R156" i="43"/>
  <c r="S156" i="43"/>
  <c r="R155" i="43"/>
  <c r="S155" i="43"/>
  <c r="E154" i="43"/>
  <c r="R153" i="43"/>
  <c r="S153" i="43"/>
  <c r="R152" i="43"/>
  <c r="S152" i="43"/>
  <c r="R151" i="43"/>
  <c r="S151" i="43"/>
  <c r="R150" i="43"/>
  <c r="S150" i="43"/>
  <c r="R149" i="43"/>
  <c r="S149" i="43"/>
  <c r="E148" i="43"/>
  <c r="P148" i="43"/>
  <c r="R147" i="43"/>
  <c r="S147" i="43"/>
  <c r="R146" i="43"/>
  <c r="S146" i="43"/>
  <c r="R145" i="43"/>
  <c r="S145" i="43"/>
  <c r="R144" i="43"/>
  <c r="S144" i="43"/>
  <c r="R143" i="43"/>
  <c r="S143" i="43"/>
  <c r="R142" i="43"/>
  <c r="S142" i="43"/>
  <c r="R141" i="43"/>
  <c r="S141" i="43"/>
  <c r="E140" i="43"/>
  <c r="E139" i="43"/>
  <c r="R138" i="43"/>
  <c r="S138" i="43"/>
  <c r="R137" i="43"/>
  <c r="S137" i="43"/>
  <c r="R136" i="43"/>
  <c r="S136" i="43"/>
  <c r="E135" i="43"/>
  <c r="N135" i="43"/>
  <c r="R134" i="43"/>
  <c r="S134" i="43"/>
  <c r="R133" i="43"/>
  <c r="S133" i="43"/>
  <c r="E132" i="43"/>
  <c r="P132" i="43"/>
  <c r="R131" i="43"/>
  <c r="S131" i="43"/>
  <c r="R130" i="43"/>
  <c r="S130" i="43"/>
  <c r="R129" i="43"/>
  <c r="S129" i="43"/>
  <c r="R128" i="43"/>
  <c r="S128" i="43"/>
  <c r="R127" i="43"/>
  <c r="E127" i="43"/>
  <c r="S127" i="43"/>
  <c r="R126" i="43"/>
  <c r="S126" i="43"/>
  <c r="R125" i="43"/>
  <c r="S125" i="43"/>
  <c r="R124" i="43"/>
  <c r="S124" i="43"/>
  <c r="R123" i="43"/>
  <c r="E123" i="43"/>
  <c r="S123" i="43"/>
  <c r="R121" i="43"/>
  <c r="S121" i="43"/>
  <c r="R120" i="43"/>
  <c r="S120" i="43"/>
  <c r="E119" i="43"/>
  <c r="P119" i="43"/>
  <c r="E118" i="43"/>
  <c r="P118" i="43"/>
  <c r="R117" i="43"/>
  <c r="S117" i="43"/>
  <c r="E116" i="43"/>
  <c r="N116" i="43"/>
  <c r="E115" i="43"/>
  <c r="P115" i="43"/>
  <c r="R113" i="43"/>
  <c r="S113" i="43"/>
  <c r="R112" i="43"/>
  <c r="S112" i="43"/>
  <c r="R111" i="43"/>
  <c r="S111" i="43"/>
  <c r="R110" i="43"/>
  <c r="S110" i="43"/>
  <c r="R109" i="43"/>
  <c r="S109" i="43"/>
  <c r="R108" i="43"/>
  <c r="S108" i="43"/>
  <c r="R107" i="43"/>
  <c r="S107" i="43"/>
  <c r="R106" i="43"/>
  <c r="S106" i="43"/>
  <c r="R105" i="43"/>
  <c r="S105" i="43"/>
  <c r="R104" i="43"/>
  <c r="S104" i="43"/>
  <c r="R103" i="43"/>
  <c r="S103" i="43"/>
  <c r="E102" i="43"/>
  <c r="L102" i="43"/>
  <c r="Q101" i="43"/>
  <c r="P101" i="43"/>
  <c r="O101" i="43"/>
  <c r="N101" i="43"/>
  <c r="M101" i="43"/>
  <c r="L101" i="43"/>
  <c r="K101" i="43"/>
  <c r="J101" i="43"/>
  <c r="I101" i="43"/>
  <c r="H101" i="43"/>
  <c r="G101" i="43"/>
  <c r="F101" i="43"/>
  <c r="Q100" i="43"/>
  <c r="P100" i="43"/>
  <c r="O100" i="43"/>
  <c r="N100" i="43"/>
  <c r="M100" i="43"/>
  <c r="L100" i="43"/>
  <c r="K100" i="43"/>
  <c r="J100" i="43"/>
  <c r="I100" i="43"/>
  <c r="H100" i="43"/>
  <c r="G100" i="43"/>
  <c r="F100" i="43"/>
  <c r="E100" i="43"/>
  <c r="Q99" i="43"/>
  <c r="P99" i="43"/>
  <c r="O99" i="43"/>
  <c r="N99" i="43"/>
  <c r="M99" i="43"/>
  <c r="L99" i="43"/>
  <c r="K99" i="43"/>
  <c r="J99" i="43"/>
  <c r="I99" i="43"/>
  <c r="H99" i="43"/>
  <c r="G99" i="43"/>
  <c r="F99" i="43"/>
  <c r="E99" i="43"/>
  <c r="R98" i="43"/>
  <c r="S98" i="43"/>
  <c r="R97" i="43"/>
  <c r="S97" i="43"/>
  <c r="R96" i="43"/>
  <c r="S96" i="43"/>
  <c r="R95" i="43"/>
  <c r="S95" i="43"/>
  <c r="R94" i="43"/>
  <c r="S94" i="43"/>
  <c r="R93" i="43"/>
  <c r="S93" i="43"/>
  <c r="R92" i="43"/>
  <c r="S92" i="43"/>
  <c r="R89" i="43"/>
  <c r="S89" i="43"/>
  <c r="R87" i="43"/>
  <c r="S87" i="43"/>
  <c r="R86" i="43"/>
  <c r="S86" i="43"/>
  <c r="R85" i="43"/>
  <c r="S85" i="43"/>
  <c r="R84" i="43"/>
  <c r="S84" i="43"/>
  <c r="R83" i="43"/>
  <c r="S83" i="43"/>
  <c r="R80" i="43"/>
  <c r="S80" i="43"/>
  <c r="R78" i="43"/>
  <c r="S78" i="43"/>
  <c r="R77" i="43"/>
  <c r="S77" i="43"/>
  <c r="R76" i="43"/>
  <c r="S76" i="43"/>
  <c r="R75" i="43"/>
  <c r="S75" i="43"/>
  <c r="R74" i="43"/>
  <c r="S74" i="43"/>
  <c r="R73" i="43"/>
  <c r="S73" i="43"/>
  <c r="R72" i="43"/>
  <c r="S72" i="43"/>
  <c r="R71" i="43"/>
  <c r="S71" i="43"/>
  <c r="R70" i="43"/>
  <c r="S70" i="43"/>
  <c r="R69" i="43"/>
  <c r="S69" i="43"/>
  <c r="R68" i="43"/>
  <c r="S68" i="43"/>
  <c r="R67" i="43"/>
  <c r="S67" i="43"/>
  <c r="R66" i="43"/>
  <c r="S66" i="43"/>
  <c r="R65" i="43"/>
  <c r="S65" i="43"/>
  <c r="R64" i="43"/>
  <c r="S64" i="43"/>
  <c r="R63" i="43"/>
  <c r="S63" i="43"/>
  <c r="R62" i="43"/>
  <c r="S62" i="43"/>
  <c r="R61" i="43"/>
  <c r="S61" i="43"/>
  <c r="R60" i="43"/>
  <c r="S60" i="43"/>
  <c r="E59" i="43"/>
  <c r="P59" i="43"/>
  <c r="R58" i="43"/>
  <c r="S58" i="43"/>
  <c r="R57" i="43"/>
  <c r="S57" i="43"/>
  <c r="R56" i="43"/>
  <c r="S56" i="43"/>
  <c r="R55" i="43"/>
  <c r="S55" i="43"/>
  <c r="R54" i="43"/>
  <c r="S54" i="43"/>
  <c r="R53" i="43"/>
  <c r="S53" i="43"/>
  <c r="R52" i="43"/>
  <c r="S52" i="43"/>
  <c r="R51" i="43"/>
  <c r="S51" i="43"/>
  <c r="R50" i="43"/>
  <c r="S50" i="43"/>
  <c r="R49" i="43"/>
  <c r="S49" i="43"/>
  <c r="R48" i="43"/>
  <c r="S48" i="43"/>
  <c r="R47" i="43"/>
  <c r="S47" i="43"/>
  <c r="R46" i="43"/>
  <c r="S46" i="43"/>
  <c r="R45" i="43"/>
  <c r="S45" i="43"/>
  <c r="R44" i="43"/>
  <c r="S44" i="43"/>
  <c r="R43" i="43"/>
  <c r="S43" i="43"/>
  <c r="R42" i="43"/>
  <c r="S42" i="43"/>
  <c r="R41" i="43"/>
  <c r="S41" i="43"/>
  <c r="R40" i="43"/>
  <c r="S40" i="43"/>
  <c r="R39" i="43"/>
  <c r="S39" i="43"/>
  <c r="R38" i="43"/>
  <c r="S38" i="43"/>
  <c r="R37" i="43"/>
  <c r="S37" i="43"/>
  <c r="R36" i="43"/>
  <c r="S36" i="43"/>
  <c r="R35" i="43"/>
  <c r="S35" i="43"/>
  <c r="R34" i="43"/>
  <c r="S34" i="43"/>
  <c r="R33" i="43"/>
  <c r="S33" i="43"/>
  <c r="R32" i="43"/>
  <c r="S32" i="43"/>
  <c r="R31" i="43"/>
  <c r="S31" i="43"/>
  <c r="R30" i="43"/>
  <c r="S30" i="43"/>
  <c r="R29" i="43"/>
  <c r="S29" i="43"/>
  <c r="R28" i="43"/>
  <c r="S28" i="43"/>
  <c r="R27" i="43"/>
  <c r="S27" i="43"/>
  <c r="R26" i="43"/>
  <c r="S26" i="43"/>
  <c r="R25" i="43"/>
  <c r="S25" i="43"/>
  <c r="R24" i="43"/>
  <c r="S24" i="43"/>
  <c r="R23" i="43"/>
  <c r="S23" i="43"/>
  <c r="R22" i="43"/>
  <c r="S22" i="43"/>
  <c r="R21" i="43"/>
  <c r="S21" i="43"/>
  <c r="R20" i="43"/>
  <c r="S20" i="43"/>
  <c r="R19" i="43"/>
  <c r="S19" i="43"/>
  <c r="R18" i="43"/>
  <c r="S18" i="43"/>
  <c r="R17" i="43"/>
  <c r="S17" i="43"/>
  <c r="R16" i="43"/>
  <c r="S16" i="43"/>
  <c r="R15" i="43"/>
  <c r="S15" i="43"/>
  <c r="R14" i="43"/>
  <c r="S14" i="43"/>
  <c r="R13" i="43"/>
  <c r="S13" i="43"/>
  <c r="R12" i="43"/>
  <c r="S12" i="43"/>
  <c r="R11" i="43"/>
  <c r="S11" i="43"/>
  <c r="R10" i="43"/>
  <c r="S10" i="43"/>
  <c r="R9" i="43"/>
  <c r="S9" i="43"/>
  <c r="R7" i="43"/>
  <c r="S7" i="43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A103" i="43"/>
  <c r="A104" i="43"/>
  <c r="A105" i="43"/>
  <c r="A106" i="43"/>
  <c r="A107" i="43"/>
  <c r="A108" i="43"/>
  <c r="A109" i="43"/>
  <c r="A110" i="43"/>
  <c r="A111" i="43"/>
  <c r="A112" i="43"/>
  <c r="A113" i="43"/>
  <c r="A114" i="43"/>
  <c r="A115" i="43"/>
  <c r="A116" i="43"/>
  <c r="A117" i="43"/>
  <c r="A118" i="43"/>
  <c r="A119" i="43"/>
  <c r="A120" i="43"/>
  <c r="A121" i="43"/>
  <c r="A122" i="43"/>
  <c r="A123" i="43"/>
  <c r="A124" i="43"/>
  <c r="A125" i="43"/>
  <c r="A126" i="43"/>
  <c r="A127" i="43"/>
  <c r="A128" i="43"/>
  <c r="A129" i="43"/>
  <c r="A130" i="43"/>
  <c r="A131" i="43"/>
  <c r="A132" i="43"/>
  <c r="A133" i="43"/>
  <c r="A134" i="43"/>
  <c r="A135" i="43"/>
  <c r="A136" i="43"/>
  <c r="A137" i="43"/>
  <c r="A138" i="43"/>
  <c r="A139" i="43"/>
  <c r="A140" i="43"/>
  <c r="A141" i="43"/>
  <c r="A142" i="43"/>
  <c r="A143" i="43"/>
  <c r="A144" i="43"/>
  <c r="A145" i="43"/>
  <c r="A146" i="43"/>
  <c r="A147" i="43"/>
  <c r="A148" i="43"/>
  <c r="A149" i="43"/>
  <c r="A150" i="43"/>
  <c r="A151" i="43"/>
  <c r="A152" i="43"/>
  <c r="A153" i="43"/>
  <c r="A154" i="43"/>
  <c r="A155" i="43"/>
  <c r="A156" i="43"/>
  <c r="A157" i="43"/>
  <c r="A158" i="43"/>
  <c r="A159" i="43"/>
  <c r="A160" i="43"/>
  <c r="A161" i="43"/>
  <c r="A162" i="43"/>
  <c r="A163" i="43"/>
  <c r="A164" i="43"/>
  <c r="A165" i="43"/>
  <c r="A166" i="43"/>
  <c r="A167" i="43"/>
  <c r="A168" i="43"/>
  <c r="A169" i="43"/>
  <c r="A170" i="43"/>
  <c r="A171" i="43"/>
  <c r="A172" i="43"/>
  <c r="A173" i="43"/>
  <c r="A174" i="43"/>
  <c r="A175" i="43"/>
  <c r="A176" i="43"/>
  <c r="A177" i="43"/>
  <c r="A178" i="43"/>
  <c r="A179" i="43"/>
  <c r="A180" i="43"/>
  <c r="A181" i="43"/>
  <c r="A182" i="43"/>
  <c r="A183" i="43"/>
  <c r="A184" i="43"/>
  <c r="A185" i="43"/>
  <c r="A186" i="43"/>
  <c r="A187" i="43"/>
  <c r="A188" i="43"/>
  <c r="A189" i="43"/>
  <c r="A190" i="43"/>
  <c r="A191" i="43"/>
  <c r="A192" i="43"/>
  <c r="A193" i="43"/>
  <c r="A194" i="43"/>
  <c r="A195" i="43"/>
  <c r="A196" i="43"/>
  <c r="A197" i="43"/>
  <c r="A198" i="43"/>
  <c r="A199" i="43"/>
  <c r="A200" i="43"/>
  <c r="A201" i="43"/>
  <c r="A202" i="43"/>
  <c r="A203" i="43"/>
  <c r="A204" i="43"/>
  <c r="A205" i="43"/>
  <c r="A206" i="43"/>
  <c r="A207" i="43"/>
  <c r="A208" i="43"/>
  <c r="A209" i="43"/>
  <c r="A210" i="43"/>
  <c r="A211" i="43"/>
  <c r="A212" i="43"/>
  <c r="A213" i="43"/>
  <c r="A214" i="43"/>
  <c r="A215" i="43"/>
  <c r="A216" i="43"/>
  <c r="A217" i="43"/>
  <c r="A218" i="43"/>
  <c r="A219" i="43"/>
  <c r="A220" i="43"/>
  <c r="A221" i="43"/>
  <c r="A222" i="43"/>
  <c r="A223" i="43"/>
  <c r="A224" i="43"/>
  <c r="A225" i="43"/>
  <c r="A226" i="43"/>
  <c r="A227" i="43"/>
  <c r="A228" i="43"/>
  <c r="A229" i="43"/>
  <c r="A230" i="43"/>
  <c r="A231" i="43"/>
  <c r="A232" i="43"/>
  <c r="H11" i="2"/>
  <c r="K15" i="2"/>
  <c r="L15" i="2"/>
  <c r="N57" i="54"/>
  <c r="E90" i="43"/>
  <c r="H90" i="43"/>
  <c r="R90" i="43"/>
  <c r="N18" i="54"/>
  <c r="M10" i="54"/>
  <c r="R99" i="43"/>
  <c r="F188" i="43"/>
  <c r="E8" i="43"/>
  <c r="P8" i="43"/>
  <c r="R101" i="43"/>
  <c r="F157" i="43"/>
  <c r="G161" i="43"/>
  <c r="N188" i="43"/>
  <c r="G9" i="2"/>
  <c r="G11" i="2"/>
  <c r="G15" i="2"/>
  <c r="M62" i="54"/>
  <c r="K62" i="54"/>
  <c r="I62" i="54"/>
  <c r="G62" i="54"/>
  <c r="E62" i="54"/>
  <c r="C62" i="54"/>
  <c r="L62" i="54"/>
  <c r="J62" i="54"/>
  <c r="H62" i="54"/>
  <c r="F62" i="54"/>
  <c r="D62" i="54"/>
  <c r="B62" i="54"/>
  <c r="M8" i="54"/>
  <c r="M7" i="54"/>
  <c r="J115" i="43"/>
  <c r="F132" i="43"/>
  <c r="N132" i="43"/>
  <c r="J148" i="43"/>
  <c r="N157" i="43"/>
  <c r="O160" i="43"/>
  <c r="J165" i="43"/>
  <c r="J188" i="43"/>
  <c r="F190" i="43"/>
  <c r="N190" i="43"/>
  <c r="G18" i="2"/>
  <c r="F115" i="43"/>
  <c r="N115" i="43"/>
  <c r="J132" i="43"/>
  <c r="F148" i="43"/>
  <c r="N148" i="43"/>
  <c r="J157" i="43"/>
  <c r="G160" i="43"/>
  <c r="O161" i="43"/>
  <c r="F165" i="43"/>
  <c r="N165" i="43"/>
  <c r="J190" i="43"/>
  <c r="L61" i="54"/>
  <c r="P82" i="43"/>
  <c r="J61" i="54"/>
  <c r="N82" i="43"/>
  <c r="H61" i="54"/>
  <c r="L82" i="43"/>
  <c r="F61" i="54"/>
  <c r="J82" i="43"/>
  <c r="D61" i="54"/>
  <c r="H82" i="43"/>
  <c r="B61" i="54"/>
  <c r="M61" i="54"/>
  <c r="Q82" i="43"/>
  <c r="K61" i="54"/>
  <c r="O82" i="43"/>
  <c r="I61" i="54"/>
  <c r="M82" i="43"/>
  <c r="G61" i="54"/>
  <c r="K82" i="43"/>
  <c r="E61" i="54"/>
  <c r="I82" i="43"/>
  <c r="C61" i="54"/>
  <c r="G82" i="43"/>
  <c r="H116" i="43"/>
  <c r="L116" i="43"/>
  <c r="P116" i="43"/>
  <c r="H135" i="43"/>
  <c r="L135" i="43"/>
  <c r="P135" i="43"/>
  <c r="H158" i="43"/>
  <c r="L158" i="43"/>
  <c r="P158" i="43"/>
  <c r="K185" i="43"/>
  <c r="H187" i="43"/>
  <c r="L187" i="43"/>
  <c r="P187" i="43"/>
  <c r="H189" i="43"/>
  <c r="L189" i="43"/>
  <c r="P189" i="43"/>
  <c r="I6" i="9"/>
  <c r="J6" i="9"/>
  <c r="D49" i="9"/>
  <c r="F20" i="2"/>
  <c r="S90" i="43"/>
  <c r="S99" i="43"/>
  <c r="R100" i="43"/>
  <c r="S100" i="43"/>
  <c r="E101" i="43"/>
  <c r="S101" i="43"/>
  <c r="H115" i="43"/>
  <c r="L115" i="43"/>
  <c r="F116" i="43"/>
  <c r="J116" i="43"/>
  <c r="H132" i="43"/>
  <c r="L132" i="43"/>
  <c r="F135" i="43"/>
  <c r="J135" i="43"/>
  <c r="H148" i="43"/>
  <c r="L148" i="43"/>
  <c r="H157" i="43"/>
  <c r="L157" i="43"/>
  <c r="F158" i="43"/>
  <c r="J158" i="43"/>
  <c r="H165" i="43"/>
  <c r="L165" i="43"/>
  <c r="G185" i="43"/>
  <c r="F187" i="43"/>
  <c r="J187" i="43"/>
  <c r="H188" i="43"/>
  <c r="L188" i="43"/>
  <c r="F189" i="43"/>
  <c r="J189" i="43"/>
  <c r="H190" i="43"/>
  <c r="L190" i="43"/>
  <c r="F24" i="2"/>
  <c r="F26" i="2"/>
  <c r="F32" i="2"/>
  <c r="K21" i="2"/>
  <c r="L21" i="2"/>
  <c r="I36" i="54"/>
  <c r="H14" i="2"/>
  <c r="G14" i="2"/>
  <c r="G6" i="9"/>
  <c r="I28" i="54"/>
  <c r="I30" i="54"/>
  <c r="I31" i="54"/>
  <c r="M46" i="54"/>
  <c r="N46" i="54"/>
  <c r="H22" i="2"/>
  <c r="G22" i="2"/>
  <c r="C64" i="3"/>
  <c r="P139" i="43"/>
  <c r="N139" i="43"/>
  <c r="L139" i="43"/>
  <c r="J139" i="43"/>
  <c r="H139" i="43"/>
  <c r="F139" i="43"/>
  <c r="P140" i="43"/>
  <c r="N140" i="43"/>
  <c r="L140" i="43"/>
  <c r="J140" i="43"/>
  <c r="H140" i="43"/>
  <c r="F140" i="43"/>
  <c r="M171" i="43"/>
  <c r="G171" i="43"/>
  <c r="P176" i="43"/>
  <c r="N176" i="43"/>
  <c r="L176" i="43"/>
  <c r="J176" i="43"/>
  <c r="H176" i="43"/>
  <c r="F176" i="43"/>
  <c r="P181" i="43"/>
  <c r="N181" i="43"/>
  <c r="L181" i="43"/>
  <c r="J181" i="43"/>
  <c r="H181" i="43"/>
  <c r="F181" i="43"/>
  <c r="P182" i="43"/>
  <c r="N182" i="43"/>
  <c r="L182" i="43"/>
  <c r="J182" i="43"/>
  <c r="H182" i="43"/>
  <c r="F182" i="43"/>
  <c r="P195" i="43"/>
  <c r="N195" i="43"/>
  <c r="L195" i="43"/>
  <c r="J195" i="43"/>
  <c r="H195" i="43"/>
  <c r="F195" i="43"/>
  <c r="P215" i="43"/>
  <c r="N215" i="43"/>
  <c r="L215" i="43"/>
  <c r="J215" i="43"/>
  <c r="H215" i="43"/>
  <c r="F215" i="43"/>
  <c r="K16" i="2"/>
  <c r="L16" i="2"/>
  <c r="G16" i="2"/>
  <c r="G26" i="4"/>
  <c r="H26" i="4"/>
  <c r="E26" i="4"/>
  <c r="I7" i="11"/>
  <c r="J7" i="11"/>
  <c r="G7" i="11"/>
  <c r="G6" i="56"/>
  <c r="H6" i="56"/>
  <c r="E6" i="56"/>
  <c r="K17" i="2"/>
  <c r="L17" i="2"/>
  <c r="D14" i="3"/>
  <c r="C73" i="3"/>
  <c r="I154" i="43"/>
  <c r="R154" i="43"/>
  <c r="S154" i="43"/>
  <c r="P160" i="43"/>
  <c r="N160" i="43"/>
  <c r="L160" i="43"/>
  <c r="J160" i="43"/>
  <c r="H160" i="43"/>
  <c r="F160" i="43"/>
  <c r="P161" i="43"/>
  <c r="N161" i="43"/>
  <c r="L161" i="43"/>
  <c r="J161" i="43"/>
  <c r="H161" i="43"/>
  <c r="F161" i="43"/>
  <c r="P185" i="43"/>
  <c r="N185" i="43"/>
  <c r="L185" i="43"/>
  <c r="J185" i="43"/>
  <c r="H185" i="43"/>
  <c r="F185" i="43"/>
  <c r="K19" i="2"/>
  <c r="L19" i="2"/>
  <c r="G19" i="2"/>
  <c r="J33" i="54"/>
  <c r="K33" i="54"/>
  <c r="H33" i="54"/>
  <c r="G59" i="43"/>
  <c r="I59" i="43"/>
  <c r="K59" i="43"/>
  <c r="M59" i="43"/>
  <c r="O59" i="43"/>
  <c r="Q59" i="43"/>
  <c r="I102" i="43"/>
  <c r="O102" i="43"/>
  <c r="G118" i="43"/>
  <c r="I118" i="43"/>
  <c r="K118" i="43"/>
  <c r="M118" i="43"/>
  <c r="O118" i="43"/>
  <c r="Q118" i="43"/>
  <c r="G119" i="43"/>
  <c r="I119" i="43"/>
  <c r="K119" i="43"/>
  <c r="M119" i="43"/>
  <c r="O119" i="43"/>
  <c r="Q119" i="43"/>
  <c r="I139" i="43"/>
  <c r="M139" i="43"/>
  <c r="Q139" i="43"/>
  <c r="I140" i="43"/>
  <c r="M140" i="43"/>
  <c r="Q140" i="43"/>
  <c r="P171" i="43"/>
  <c r="I176" i="43"/>
  <c r="M176" i="43"/>
  <c r="Q176" i="43"/>
  <c r="I181" i="43"/>
  <c r="M181" i="43"/>
  <c r="Q181" i="43"/>
  <c r="I182" i="43"/>
  <c r="M182" i="43"/>
  <c r="Q182" i="43"/>
  <c r="I195" i="43"/>
  <c r="M195" i="43"/>
  <c r="Q195" i="43"/>
  <c r="I215" i="43"/>
  <c r="M215" i="43"/>
  <c r="Q215" i="43"/>
  <c r="J11" i="2"/>
  <c r="B3" i="9"/>
  <c r="E3" i="11"/>
  <c r="F59" i="43"/>
  <c r="H59" i="43"/>
  <c r="J59" i="43"/>
  <c r="L59" i="43"/>
  <c r="N59" i="43"/>
  <c r="F102" i="43"/>
  <c r="E114" i="43"/>
  <c r="G115" i="43"/>
  <c r="I115" i="43"/>
  <c r="K115" i="43"/>
  <c r="M115" i="43"/>
  <c r="O115" i="43"/>
  <c r="Q115" i="43"/>
  <c r="G116" i="43"/>
  <c r="I116" i="43"/>
  <c r="K116" i="43"/>
  <c r="M116" i="43"/>
  <c r="O116" i="43"/>
  <c r="Q116" i="43"/>
  <c r="F118" i="43"/>
  <c r="H118" i="43"/>
  <c r="J118" i="43"/>
  <c r="L118" i="43"/>
  <c r="N118" i="43"/>
  <c r="F119" i="43"/>
  <c r="H119" i="43"/>
  <c r="J119" i="43"/>
  <c r="L119" i="43"/>
  <c r="N119" i="43"/>
  <c r="G132" i="43"/>
  <c r="I132" i="43"/>
  <c r="K132" i="43"/>
  <c r="M132" i="43"/>
  <c r="O132" i="43"/>
  <c r="Q132" i="43"/>
  <c r="G135" i="43"/>
  <c r="I135" i="43"/>
  <c r="K135" i="43"/>
  <c r="M135" i="43"/>
  <c r="O135" i="43"/>
  <c r="Q135" i="43"/>
  <c r="G139" i="43"/>
  <c r="K139" i="43"/>
  <c r="O139" i="43"/>
  <c r="G140" i="43"/>
  <c r="K140" i="43"/>
  <c r="O140" i="43"/>
  <c r="I160" i="43"/>
  <c r="M160" i="43"/>
  <c r="Q160" i="43"/>
  <c r="I161" i="43"/>
  <c r="M161" i="43"/>
  <c r="Q161" i="43"/>
  <c r="J171" i="43"/>
  <c r="G176" i="43"/>
  <c r="K176" i="43"/>
  <c r="O176" i="43"/>
  <c r="G181" i="43"/>
  <c r="K181" i="43"/>
  <c r="O181" i="43"/>
  <c r="G182" i="43"/>
  <c r="K182" i="43"/>
  <c r="O182" i="43"/>
  <c r="I185" i="43"/>
  <c r="M185" i="43"/>
  <c r="Q185" i="43"/>
  <c r="G195" i="43"/>
  <c r="K195" i="43"/>
  <c r="O195" i="43"/>
  <c r="G215" i="43"/>
  <c r="K215" i="43"/>
  <c r="O215" i="43"/>
  <c r="A3" i="3"/>
  <c r="D20" i="3"/>
  <c r="C79" i="3"/>
  <c r="F26" i="4"/>
  <c r="H45" i="9"/>
  <c r="H49" i="9"/>
  <c r="H20" i="2"/>
  <c r="H7" i="11"/>
  <c r="B18" i="53"/>
  <c r="F6" i="56"/>
  <c r="C15" i="56"/>
  <c r="F35" i="2"/>
  <c r="G148" i="43"/>
  <c r="I148" i="43"/>
  <c r="K148" i="43"/>
  <c r="M148" i="43"/>
  <c r="O148" i="43"/>
  <c r="Q148" i="43"/>
  <c r="G157" i="43"/>
  <c r="I157" i="43"/>
  <c r="K157" i="43"/>
  <c r="M157" i="43"/>
  <c r="O157" i="43"/>
  <c r="Q157" i="43"/>
  <c r="G158" i="43"/>
  <c r="I158" i="43"/>
  <c r="K158" i="43"/>
  <c r="M158" i="43"/>
  <c r="O158" i="43"/>
  <c r="Q158" i="43"/>
  <c r="G165" i="43"/>
  <c r="I165" i="43"/>
  <c r="K165" i="43"/>
  <c r="M165" i="43"/>
  <c r="O165" i="43"/>
  <c r="Q165" i="43"/>
  <c r="G187" i="43"/>
  <c r="I187" i="43"/>
  <c r="K187" i="43"/>
  <c r="M187" i="43"/>
  <c r="O187" i="43"/>
  <c r="Q187" i="43"/>
  <c r="G188" i="43"/>
  <c r="I188" i="43"/>
  <c r="K188" i="43"/>
  <c r="M188" i="43"/>
  <c r="O188" i="43"/>
  <c r="Q188" i="43"/>
  <c r="G189" i="43"/>
  <c r="I189" i="43"/>
  <c r="K189" i="43"/>
  <c r="M189" i="43"/>
  <c r="O189" i="43"/>
  <c r="Q189" i="43"/>
  <c r="G190" i="43"/>
  <c r="I190" i="43"/>
  <c r="K190" i="43"/>
  <c r="M190" i="43"/>
  <c r="O190" i="43"/>
  <c r="Q190" i="43"/>
  <c r="F8" i="43"/>
  <c r="N8" i="43"/>
  <c r="K8" i="43"/>
  <c r="J8" i="43"/>
  <c r="O8" i="43"/>
  <c r="G8" i="43"/>
  <c r="K28" i="54"/>
  <c r="K30" i="54"/>
  <c r="K31" i="54"/>
  <c r="B56" i="54"/>
  <c r="F88" i="43"/>
  <c r="J28" i="54"/>
  <c r="J30" i="54"/>
  <c r="J31" i="54"/>
  <c r="L45" i="54"/>
  <c r="L47" i="54"/>
  <c r="L8" i="43"/>
  <c r="H8" i="43"/>
  <c r="Q8" i="43"/>
  <c r="M8" i="43"/>
  <c r="I8" i="43"/>
  <c r="C56" i="54"/>
  <c r="G88" i="43"/>
  <c r="N62" i="54"/>
  <c r="E91" i="43"/>
  <c r="K56" i="54"/>
  <c r="O88" i="43"/>
  <c r="M11" i="54"/>
  <c r="N61" i="54"/>
  <c r="E82" i="43"/>
  <c r="F82" i="43"/>
  <c r="R82" i="43"/>
  <c r="J56" i="54"/>
  <c r="N88" i="43"/>
  <c r="L28" i="54"/>
  <c r="L30" i="54"/>
  <c r="L31" i="54"/>
  <c r="R190" i="43"/>
  <c r="S190" i="43"/>
  <c r="R189" i="43"/>
  <c r="S189" i="43"/>
  <c r="R165" i="43"/>
  <c r="S165" i="43"/>
  <c r="R158" i="43"/>
  <c r="S158" i="43"/>
  <c r="R148" i="43"/>
  <c r="S148" i="43"/>
  <c r="R132" i="43"/>
  <c r="S132" i="43"/>
  <c r="R115" i="43"/>
  <c r="S115" i="43"/>
  <c r="R171" i="43"/>
  <c r="S171" i="43"/>
  <c r="R188" i="43"/>
  <c r="S188" i="43"/>
  <c r="R187" i="43"/>
  <c r="S187" i="43"/>
  <c r="R157" i="43"/>
  <c r="S157" i="43"/>
  <c r="F60" i="2"/>
  <c r="F61" i="2"/>
  <c r="F63" i="2"/>
  <c r="R135" i="43"/>
  <c r="S135" i="43"/>
  <c r="R116" i="43"/>
  <c r="S116" i="43"/>
  <c r="E56" i="54"/>
  <c r="I88" i="43"/>
  <c r="H56" i="54"/>
  <c r="L88" i="43"/>
  <c r="G20" i="2"/>
  <c r="G24" i="2"/>
  <c r="G26" i="2"/>
  <c r="G32" i="2"/>
  <c r="K20" i="2"/>
  <c r="L20" i="2"/>
  <c r="D3" i="53"/>
  <c r="E3" i="54"/>
  <c r="Q114" i="43"/>
  <c r="K114" i="43"/>
  <c r="N114" i="43"/>
  <c r="H114" i="43"/>
  <c r="C66" i="3"/>
  <c r="D19" i="3"/>
  <c r="C78" i="3"/>
  <c r="K22" i="2"/>
  <c r="L22" i="2"/>
  <c r="E122" i="43"/>
  <c r="D15" i="3"/>
  <c r="C74" i="3"/>
  <c r="K18" i="2"/>
  <c r="L18" i="2"/>
  <c r="R119" i="43"/>
  <c r="S119" i="43"/>
  <c r="R59" i="43"/>
  <c r="S59" i="43"/>
  <c r="R215" i="43"/>
  <c r="S215" i="43"/>
  <c r="R195" i="43"/>
  <c r="S195" i="43"/>
  <c r="R182" i="43"/>
  <c r="S182" i="43"/>
  <c r="R181" i="43"/>
  <c r="S181" i="43"/>
  <c r="R176" i="43"/>
  <c r="S176" i="43"/>
  <c r="R140" i="43"/>
  <c r="S140" i="43"/>
  <c r="R139" i="43"/>
  <c r="S139" i="43"/>
  <c r="G35" i="2"/>
  <c r="R118" i="43"/>
  <c r="S118" i="43"/>
  <c r="R102" i="43"/>
  <c r="S102" i="43"/>
  <c r="H24" i="2"/>
  <c r="H26" i="2"/>
  <c r="H32" i="2"/>
  <c r="R185" i="43"/>
  <c r="S185" i="43"/>
  <c r="R161" i="43"/>
  <c r="S161" i="43"/>
  <c r="R160" i="43"/>
  <c r="S160" i="43"/>
  <c r="E45" i="54"/>
  <c r="E47" i="54"/>
  <c r="H45" i="54"/>
  <c r="G45" i="54"/>
  <c r="M56" i="54"/>
  <c r="Q88" i="43"/>
  <c r="G56" i="54"/>
  <c r="G58" i="54"/>
  <c r="K58" i="54"/>
  <c r="M45" i="54"/>
  <c r="M47" i="54"/>
  <c r="Q79" i="43"/>
  <c r="K45" i="54"/>
  <c r="J45" i="54"/>
  <c r="P79" i="43"/>
  <c r="O18" i="54"/>
  <c r="C58" i="54"/>
  <c r="I79" i="43"/>
  <c r="D56" i="54"/>
  <c r="I56" i="54"/>
  <c r="D45" i="54"/>
  <c r="I45" i="54"/>
  <c r="I47" i="54"/>
  <c r="C45" i="54"/>
  <c r="C47" i="54"/>
  <c r="F45" i="54"/>
  <c r="B45" i="54"/>
  <c r="L56" i="54"/>
  <c r="F56" i="54"/>
  <c r="B58" i="54"/>
  <c r="E58" i="54"/>
  <c r="R8" i="43"/>
  <c r="S8" i="43"/>
  <c r="H58" i="54"/>
  <c r="N91" i="43"/>
  <c r="H91" i="43"/>
  <c r="P91" i="43"/>
  <c r="F91" i="43"/>
  <c r="I91" i="43"/>
  <c r="M91" i="43"/>
  <c r="Q91" i="43"/>
  <c r="L91" i="43"/>
  <c r="J91" i="43"/>
  <c r="G91" i="43"/>
  <c r="K91" i="43"/>
  <c r="O91" i="43"/>
  <c r="J58" i="54"/>
  <c r="M58" i="54"/>
  <c r="S82" i="43"/>
  <c r="R114" i="43"/>
  <c r="S114" i="43"/>
  <c r="P122" i="43"/>
  <c r="N122" i="43"/>
  <c r="L122" i="43"/>
  <c r="J122" i="43"/>
  <c r="H122" i="43"/>
  <c r="F122" i="43"/>
  <c r="Q122" i="43"/>
  <c r="O122" i="43"/>
  <c r="M122" i="43"/>
  <c r="K122" i="43"/>
  <c r="I122" i="43"/>
  <c r="G122" i="43"/>
  <c r="F47" i="54"/>
  <c r="J79" i="43"/>
  <c r="J47" i="54"/>
  <c r="N79" i="43"/>
  <c r="G47" i="54"/>
  <c r="K79" i="43"/>
  <c r="B47" i="54"/>
  <c r="F79" i="43"/>
  <c r="D47" i="54"/>
  <c r="H79" i="43"/>
  <c r="K47" i="54"/>
  <c r="O79" i="43"/>
  <c r="H47" i="54"/>
  <c r="L79" i="43"/>
  <c r="K88" i="43"/>
  <c r="N45" i="54"/>
  <c r="N47" i="54"/>
  <c r="L50" i="54"/>
  <c r="L53" i="54"/>
  <c r="P81" i="43"/>
  <c r="J50" i="54"/>
  <c r="J53" i="54"/>
  <c r="N81" i="43"/>
  <c r="H50" i="54"/>
  <c r="H53" i="54"/>
  <c r="F50" i="54"/>
  <c r="F53" i="54"/>
  <c r="J81" i="43"/>
  <c r="D50" i="54"/>
  <c r="D53" i="54"/>
  <c r="H81" i="43"/>
  <c r="B50" i="54"/>
  <c r="M50" i="54"/>
  <c r="M53" i="54"/>
  <c r="Q81" i="43"/>
  <c r="K50" i="54"/>
  <c r="K53" i="54"/>
  <c r="I50" i="54"/>
  <c r="I53" i="54"/>
  <c r="G50" i="54"/>
  <c r="G53" i="54"/>
  <c r="E50" i="54"/>
  <c r="E53" i="54"/>
  <c r="I81" i="43"/>
  <c r="C50" i="54"/>
  <c r="C53" i="54"/>
  <c r="G79" i="43"/>
  <c r="H88" i="43"/>
  <c r="D58" i="54"/>
  <c r="M79" i="43"/>
  <c r="M88" i="43"/>
  <c r="I58" i="54"/>
  <c r="P88" i="43"/>
  <c r="L58" i="54"/>
  <c r="J88" i="43"/>
  <c r="F58" i="54"/>
  <c r="F64" i="54"/>
  <c r="N56" i="54"/>
  <c r="R91" i="43"/>
  <c r="S91" i="43"/>
  <c r="B53" i="54"/>
  <c r="M64" i="54"/>
  <c r="R122" i="43"/>
  <c r="R79" i="43"/>
  <c r="E79" i="43"/>
  <c r="N53" i="54"/>
  <c r="N58" i="54"/>
  <c r="N64" i="54"/>
  <c r="S79" i="43"/>
  <c r="L64" i="54"/>
  <c r="D64" i="54"/>
  <c r="J64" i="54"/>
  <c r="R88" i="43"/>
  <c r="M81" i="43"/>
  <c r="I64" i="54"/>
  <c r="G81" i="43"/>
  <c r="C64" i="54"/>
  <c r="L81" i="43"/>
  <c r="H64" i="54"/>
  <c r="K81" i="43"/>
  <c r="G64" i="54"/>
  <c r="O81" i="43"/>
  <c r="K64" i="54"/>
  <c r="P32" i="54"/>
  <c r="P36" i="54"/>
  <c r="N35" i="54"/>
  <c r="N50" i="54"/>
  <c r="E64" i="54"/>
  <c r="E88" i="43"/>
  <c r="S88" i="43"/>
  <c r="F81" i="43"/>
  <c r="R81" i="43"/>
  <c r="B64" i="54"/>
  <c r="S122" i="43"/>
  <c r="R233" i="43"/>
  <c r="D11" i="3"/>
  <c r="C70" i="3"/>
  <c r="C80" i="3"/>
  <c r="K14" i="2"/>
  <c r="L14" i="2"/>
  <c r="E81" i="43"/>
  <c r="J26" i="2"/>
  <c r="J32" i="2"/>
  <c r="S81" i="43"/>
  <c r="E233" i="43"/>
  <c r="S233" i="43"/>
  <c r="I26" i="3"/>
  <c r="D31" i="3"/>
  <c r="M34" i="3"/>
</calcChain>
</file>

<file path=xl/comments1.xml><?xml version="1.0" encoding="utf-8"?>
<comments xmlns="http://schemas.openxmlformats.org/spreadsheetml/2006/main">
  <authors>
    <author>carmen_nava</author>
  </authors>
  <commentList>
    <comment ref="F127" authorId="0" shapeId="0">
      <text>
        <r>
          <rPr>
            <b/>
            <sz val="9"/>
            <color indexed="81"/>
            <rFont val="Tahoma"/>
            <family val="2"/>
          </rPr>
          <t>carmen_nava:</t>
        </r>
        <r>
          <rPr>
            <sz val="9"/>
            <color indexed="81"/>
            <rFont val="Tahoma"/>
            <family val="2"/>
          </rPr>
          <t xml:space="preserve">
This bill was paid in full in Jan.
</t>
        </r>
      </text>
    </comment>
  </commentList>
</comments>
</file>

<file path=xl/comments2.xml><?xml version="1.0" encoding="utf-8"?>
<comments xmlns="http://schemas.openxmlformats.org/spreadsheetml/2006/main">
  <authors>
    <author>joel_sylvert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</rPr>
          <t>joel_sylvert:</t>
        </r>
        <r>
          <rPr>
            <sz val="9"/>
            <color indexed="81"/>
            <rFont val="Tahoma"/>
            <family val="2"/>
          </rPr>
          <t xml:space="preserve">
per statement of deposit &amp; filings
</t>
        </r>
      </text>
    </comment>
  </commentList>
</comments>
</file>

<file path=xl/sharedStrings.xml><?xml version="1.0" encoding="utf-8"?>
<sst xmlns="http://schemas.openxmlformats.org/spreadsheetml/2006/main" count="858" uniqueCount="526">
  <si>
    <t>Operating Budget - Comparison</t>
  </si>
  <si>
    <t>Actual*</t>
  </si>
  <si>
    <t>Budget</t>
  </si>
  <si>
    <t>Income</t>
  </si>
  <si>
    <t xml:space="preserve">   Total Income</t>
  </si>
  <si>
    <t>Expenses</t>
  </si>
  <si>
    <t>Repairs/Maint./Supplies</t>
  </si>
  <si>
    <t>Other Administrative Expense</t>
  </si>
  <si>
    <t>Insurance</t>
  </si>
  <si>
    <t>Management Fees</t>
  </si>
  <si>
    <t>Professional Fees</t>
  </si>
  <si>
    <t>Water &amp; Sewer</t>
  </si>
  <si>
    <t>Corporate Taxes</t>
  </si>
  <si>
    <t xml:space="preserve">   Total Expenses</t>
  </si>
  <si>
    <t>Net Operating Surplus &lt;Deficit&gt;</t>
  </si>
  <si>
    <t>Total Surplus &lt;Deficit&gt;</t>
  </si>
  <si>
    <t>*</t>
  </si>
  <si>
    <t>Operating Budget</t>
  </si>
  <si>
    <t xml:space="preserve"> </t>
  </si>
  <si>
    <t>Operating Income</t>
  </si>
  <si>
    <t>Operating Expenses</t>
  </si>
  <si>
    <t>Operating Surplus &lt; Deficit&gt;</t>
  </si>
  <si>
    <t>Net Surplus &lt;Deficit&gt;</t>
  </si>
  <si>
    <t>Page 1</t>
  </si>
  <si>
    <t>Total</t>
  </si>
  <si>
    <t>Page 6</t>
  </si>
  <si>
    <t>Page 7</t>
  </si>
  <si>
    <t>Actual</t>
  </si>
  <si>
    <t>Elevator Repair</t>
  </si>
  <si>
    <t>Plumbing Repair</t>
  </si>
  <si>
    <t>Painting &amp; Plastering</t>
  </si>
  <si>
    <t>Total Repairs &amp; Maintenance</t>
  </si>
  <si>
    <t>License/Fees/Permits</t>
  </si>
  <si>
    <t>Franchise Tax</t>
  </si>
  <si>
    <t>TABLE OF CONTENTS</t>
  </si>
  <si>
    <t>CATEGORY</t>
  </si>
  <si>
    <t>PAGE #</t>
  </si>
  <si>
    <t xml:space="preserve">Architect/Engineer </t>
  </si>
  <si>
    <t>OPERATING BUDGET</t>
  </si>
  <si>
    <t>(B)</t>
  </si>
  <si>
    <t>12 Month</t>
  </si>
  <si>
    <t>Forecast</t>
  </si>
  <si>
    <t>Unpaids</t>
  </si>
  <si>
    <t xml:space="preserve">Telephone </t>
  </si>
  <si>
    <t xml:space="preserve">Other Professional Fees </t>
  </si>
  <si>
    <t>Monthly</t>
  </si>
  <si>
    <t>Annual</t>
  </si>
  <si>
    <t>Increase</t>
  </si>
  <si>
    <t>(A)</t>
  </si>
  <si>
    <t>* Per Audited Financial Statements.</t>
  </si>
  <si>
    <t>12 MO. Forecast</t>
  </si>
  <si>
    <t>Page 3</t>
  </si>
  <si>
    <t>Page 4</t>
  </si>
  <si>
    <t>.</t>
  </si>
  <si>
    <t>Repairs &amp; Maintenance</t>
  </si>
  <si>
    <t>Miscellaneous Income</t>
  </si>
  <si>
    <t>Repair Income</t>
  </si>
  <si>
    <t xml:space="preserve">            Total</t>
  </si>
  <si>
    <t>Legal Fees</t>
  </si>
  <si>
    <t>Capital Assessment</t>
  </si>
  <si>
    <t xml:space="preserve">Miscellaneous   </t>
  </si>
  <si>
    <t xml:space="preserve">    To Cover Net Operating Deficit</t>
  </si>
  <si>
    <t>Pie Chart Data</t>
  </si>
  <si>
    <t>Capital One Bank - Escrow</t>
  </si>
  <si>
    <t>Merrill Lynch- Capital Assessment Reserve</t>
  </si>
  <si>
    <t>Capital One Bank- Maint.Escrow Deposit</t>
  </si>
  <si>
    <t>Payroll Processing Fees</t>
  </si>
  <si>
    <t>Postage, Messenger, Copy</t>
  </si>
  <si>
    <t xml:space="preserve">Accrual </t>
  </si>
  <si>
    <t>Adjustment</t>
  </si>
  <si>
    <t xml:space="preserve">    To Cover Operating Deficit</t>
  </si>
  <si>
    <t xml:space="preserve">     Subtotal</t>
  </si>
  <si>
    <t xml:space="preserve">Other Administrative </t>
  </si>
  <si>
    <t>Other Operating Expenses</t>
  </si>
  <si>
    <t>Management Fee</t>
  </si>
  <si>
    <t>(B) The budget reflects a percentage increase over prior year costs @</t>
  </si>
  <si>
    <t>(A) The budget reflects a percentage increase over prior year costs @</t>
  </si>
  <si>
    <t>Other Administrative</t>
  </si>
  <si>
    <t>Restricted</t>
  </si>
  <si>
    <t>Other Income:</t>
  </si>
  <si>
    <t>G/L</t>
  </si>
  <si>
    <t>Amount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</si>
  <si>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</si>
  <si>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</si>
  <si>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</si>
  <si>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</si>
  <si>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</si>
  <si>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</si>
  <si>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</si>
  <si>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</si>
  <si>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</si>
  <si>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</si>
  <si>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</si>
  <si>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</si>
  <si>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Diff</t>
  </si>
  <si>
    <t xml:space="preserve">UNIT REVENUE                       </t>
  </si>
  <si>
    <t xml:space="preserve">MAINTENANCE-COMMON CHARGES         </t>
  </si>
  <si>
    <t xml:space="preserve">LATE FEES                          </t>
  </si>
  <si>
    <t xml:space="preserve">APARTMENT RENT                     </t>
  </si>
  <si>
    <t xml:space="preserve">SURCHARGE INCOME                   </t>
  </si>
  <si>
    <t xml:space="preserve">ASSESSMENT INCOME                  </t>
  </si>
  <si>
    <t xml:space="preserve">DUMMY - MISSING ACCT               </t>
  </si>
  <si>
    <t xml:space="preserve">CAPITAL ASSESSMENT                 </t>
  </si>
  <si>
    <t xml:space="preserve">COMMERCIAL RETAIL RENT             </t>
  </si>
  <si>
    <t xml:space="preserve">PILOT INCOME                       </t>
  </si>
  <si>
    <t xml:space="preserve">OTHER RENT                         </t>
  </si>
  <si>
    <t xml:space="preserve">ESCALATION                         </t>
  </si>
  <si>
    <t xml:space="preserve">WATER AND SEWER                    </t>
  </si>
  <si>
    <t xml:space="preserve">MCI                                </t>
  </si>
  <si>
    <t xml:space="preserve">CONCIERGE                          </t>
  </si>
  <si>
    <t xml:space="preserve">DO NOT USE - WAS PLUMBING REPAIR   </t>
  </si>
  <si>
    <t xml:space="preserve">REPAIR CHARGEBACKS                 </t>
  </si>
  <si>
    <t xml:space="preserve">DO NOT USE - WAS SECURITY GUARD    </t>
  </si>
  <si>
    <t xml:space="preserve">KEYS/REMOTE                        </t>
  </si>
  <si>
    <t xml:space="preserve">PARKING INCOME                     </t>
  </si>
  <si>
    <t xml:space="preserve">PARKING TAX                        </t>
  </si>
  <si>
    <t xml:space="preserve">SUBLET FEE                         </t>
  </si>
  <si>
    <t xml:space="preserve">STORAGE                            </t>
  </si>
  <si>
    <t xml:space="preserve">BICYCLE STORAGE                    </t>
  </si>
  <si>
    <t xml:space="preserve">APPLIANCES                         </t>
  </si>
  <si>
    <t xml:space="preserve">ELECTRIC                           </t>
  </si>
  <si>
    <t xml:space="preserve">ELECTRIC CURTAILMENT               </t>
  </si>
  <si>
    <t xml:space="preserve">CABLE / TELEPHONE                  </t>
  </si>
  <si>
    <t xml:space="preserve">DO NOT USE - WAS WATER             </t>
  </si>
  <si>
    <t xml:space="preserve">SECTION 8                          </t>
  </si>
  <si>
    <t xml:space="preserve">TAX ABATEMENT                      </t>
  </si>
  <si>
    <t xml:space="preserve">SCRIE / SCHE                       </t>
  </si>
  <si>
    <t xml:space="preserve">VETERANS EXEMPTION                 </t>
  </si>
  <si>
    <t xml:space="preserve">STAR EXEMPTION                     </t>
  </si>
  <si>
    <t xml:space="preserve">FUEL SURCHARGE                     </t>
  </si>
  <si>
    <t xml:space="preserve">MAID / GUEST ROOM                  </t>
  </si>
  <si>
    <t xml:space="preserve">GYM AND HEALTH CLUB                </t>
  </si>
  <si>
    <t xml:space="preserve">AIR CONDITIONING                   </t>
  </si>
  <si>
    <t xml:space="preserve">FINES/PENALTIES                    </t>
  </si>
  <si>
    <t xml:space="preserve">LAUNDRY INCOME                     </t>
  </si>
  <si>
    <t xml:space="preserve">GARAGE RENTAL INCOME               </t>
  </si>
  <si>
    <t xml:space="preserve">DO NOT USE - WAS GARAGE REMOTE     </t>
  </si>
  <si>
    <t xml:space="preserve">COMMUNITY ROOM RENTAL              </t>
  </si>
  <si>
    <t xml:space="preserve">ROOF ANTENNA RENT                  </t>
  </si>
  <si>
    <t xml:space="preserve">DO NOT USE - WAS OTHER REVENUE     </t>
  </si>
  <si>
    <t xml:space="preserve">APPLICATION FEES                   </t>
  </si>
  <si>
    <t xml:space="preserve">FLIP/TRANSFER TAX                  </t>
  </si>
  <si>
    <t xml:space="preserve">INSURANCE CLAIM                    </t>
  </si>
  <si>
    <t xml:space="preserve">NG CHECK FEE                       </t>
  </si>
  <si>
    <t xml:space="preserve">EQUITY &amp; AMORTIZATION INCOME       </t>
  </si>
  <si>
    <t xml:space="preserve">INTEREST/DIVIDEND INCOME           </t>
  </si>
  <si>
    <t xml:space="preserve">MORTGAGE INCOME                    </t>
  </si>
  <si>
    <t xml:space="preserve">MOVE IN/OUT FEES                   </t>
  </si>
  <si>
    <t xml:space="preserve">CAPITAL CONTRIBUTION               </t>
  </si>
  <si>
    <t xml:space="preserve">LEGAL FEE                          </t>
  </si>
  <si>
    <t xml:space="preserve">ADMINISTRATIVE FEE                 </t>
  </si>
  <si>
    <t xml:space="preserve">FINANCE PROCEEDS                   </t>
  </si>
  <si>
    <t xml:space="preserve">SALES PROCEEDS                     </t>
  </si>
  <si>
    <t xml:space="preserve">ALTERATION FEES                    </t>
  </si>
  <si>
    <t>DO NOT USE - WAS ALTERATION DEPOSIT</t>
  </si>
  <si>
    <t xml:space="preserve">PROFESSIONAL FEES                  </t>
  </si>
  <si>
    <t xml:space="preserve">PET FEE INCOME                     </t>
  </si>
  <si>
    <t xml:space="preserve">MORTGAGE PROCEEDS                  </t>
  </si>
  <si>
    <t xml:space="preserve">DO NOT USE - WAS EQUITY DEPOSIT    </t>
  </si>
  <si>
    <t xml:space="preserve">OTHER INCOME/CHARGES               </t>
  </si>
  <si>
    <t xml:space="preserve">TRANSFER INCOME                    </t>
  </si>
  <si>
    <t xml:space="preserve">RECLASSIFICATIONS                  </t>
  </si>
  <si>
    <t xml:space="preserve">GROSS PAYROLL                      </t>
  </si>
  <si>
    <t xml:space="preserve">DO NOT USE- WAS OVERTIME PAYROLL   </t>
  </si>
  <si>
    <t xml:space="preserve">PAYROLL TAXES                      </t>
  </si>
  <si>
    <t xml:space="preserve">HEALTH/PENSION/ANNUITY             </t>
  </si>
  <si>
    <t xml:space="preserve">DO NOT USE - WAS PENSION FUND      </t>
  </si>
  <si>
    <t xml:space="preserve">DO NOT USE - WAS ANNUITY FUND      </t>
  </si>
  <si>
    <t xml:space="preserve">401K                               </t>
  </si>
  <si>
    <t xml:space="preserve">DO NOT USE - WAS 401K LOAN         </t>
  </si>
  <si>
    <t xml:space="preserve">UNION DUES                         </t>
  </si>
  <si>
    <t xml:space="preserve">WORKERS COMPENSATION               </t>
  </si>
  <si>
    <t xml:space="preserve">DISABILITY INSURANCE               </t>
  </si>
  <si>
    <t xml:space="preserve">EMPLOYEE REIMBURSEMENTS            </t>
  </si>
  <si>
    <t xml:space="preserve">CONTRACT EMPLOYMENT                </t>
  </si>
  <si>
    <t xml:space="preserve">UNIFORMS                           </t>
  </si>
  <si>
    <t xml:space="preserve">DO NOT USE -WAS OTHER ADMIN        </t>
  </si>
  <si>
    <t xml:space="preserve">DON NOT USE -  WAS OTHER PAYROLL   </t>
  </si>
  <si>
    <t xml:space="preserve">BONUS                              </t>
  </si>
  <si>
    <t xml:space="preserve">DO NOT USE - WAS MEAL ALLOWANCE    </t>
  </si>
  <si>
    <t xml:space="preserve">DO NOT USE - WAS APT-RENT          </t>
  </si>
  <si>
    <t xml:space="preserve">GAS                                </t>
  </si>
  <si>
    <t xml:space="preserve">FUEL/STEAM                         </t>
  </si>
  <si>
    <t xml:space="preserve">WATER &amp; SEWER EXPENSE              </t>
  </si>
  <si>
    <t xml:space="preserve">METER READING                      </t>
  </si>
  <si>
    <t xml:space="preserve">CABLE/DSL SERVICE                  </t>
  </si>
  <si>
    <t xml:space="preserve">REAL ESTATE TAX                    </t>
  </si>
  <si>
    <t xml:space="preserve">REAL ESTATE ESCROW                 </t>
  </si>
  <si>
    <t xml:space="preserve">REAL ESTATE TAX ABATEMENT          </t>
  </si>
  <si>
    <t xml:space="preserve">BID TAX                            </t>
  </si>
  <si>
    <t xml:space="preserve">CORPORATE TAX                      </t>
  </si>
  <si>
    <t xml:space="preserve">ACCOUNTING FEES                    </t>
  </si>
  <si>
    <t xml:space="preserve">ARCHITECT/ENGINEER                 </t>
  </si>
  <si>
    <t xml:space="preserve">COMMISSIONS                        </t>
  </si>
  <si>
    <t xml:space="preserve">OTHER PROFESSIONAL/CONSULTING      </t>
  </si>
  <si>
    <t xml:space="preserve">LEGAL FEES                         </t>
  </si>
  <si>
    <t xml:space="preserve">LEGAL FEES (SSMAC)                 </t>
  </si>
  <si>
    <t xml:space="preserve">TAX CERTIORARI                     </t>
  </si>
  <si>
    <t xml:space="preserve">MANAGEMENT FEE                     </t>
  </si>
  <si>
    <t xml:space="preserve">SECURITY BACKGROUND CHECK          </t>
  </si>
  <si>
    <t xml:space="preserve">DO NOT USE - WAS INSURANCE         </t>
  </si>
  <si>
    <t xml:space="preserve">INSURANCE ESCROW                   </t>
  </si>
  <si>
    <t xml:space="preserve">INSURANCE                          </t>
  </si>
  <si>
    <t xml:space="preserve">DO NOT USE - WAS ADMIN.            </t>
  </si>
  <si>
    <t xml:space="preserve">ADVERTISING EXPENSE                </t>
  </si>
  <si>
    <t xml:space="preserve">BANK CHARGES                       </t>
  </si>
  <si>
    <t xml:space="preserve">DUES AND SUBSCRIPTIONS             </t>
  </si>
  <si>
    <t xml:space="preserve">PAYROLL FEES/OTHER PAYROLL         </t>
  </si>
  <si>
    <t xml:space="preserve">DONATIONS                          </t>
  </si>
  <si>
    <t xml:space="preserve">HOLIDAY EXPENSE                    </t>
  </si>
  <si>
    <t xml:space="preserve">PERMITS,FEES &amp; LICENSES            </t>
  </si>
  <si>
    <t xml:space="preserve">TRAVEL/MEETING EXPENSE             </t>
  </si>
  <si>
    <t xml:space="preserve">EQUIPMENT REPAIR/OFFICE            </t>
  </si>
  <si>
    <t xml:space="preserve">BOARD/OFFICE EXPENSE               </t>
  </si>
  <si>
    <t xml:space="preserve">POSTAGE, MESSENGER, COPYING        </t>
  </si>
  <si>
    <t xml:space="preserve">TELEPHONE/BEEPERS                  </t>
  </si>
  <si>
    <t xml:space="preserve">FINES &amp; PENALTIES                  </t>
  </si>
  <si>
    <t xml:space="preserve">DO NOT USE - WAS OTHER OPER EXP.   </t>
  </si>
  <si>
    <t xml:space="preserve">HEALTH CLUB EXPENSE                </t>
  </si>
  <si>
    <t xml:space="preserve">APT. RENT                          </t>
  </si>
  <si>
    <t xml:space="preserve">GROUND RENT                        </t>
  </si>
  <si>
    <t xml:space="preserve">GARAGE/PARKING                     </t>
  </si>
  <si>
    <t xml:space="preserve">AUTO LEASE                         </t>
  </si>
  <si>
    <t xml:space="preserve">MISC/OTHER ADMINISTRATIVE          </t>
  </si>
  <si>
    <t xml:space="preserve">COMMON CHARGES- MAINTENANCE        </t>
  </si>
  <si>
    <t xml:space="preserve">COMMUNITY ASSOCIATION DUES         </t>
  </si>
  <si>
    <t xml:space="preserve">BUILDING SECURITY                  </t>
  </si>
  <si>
    <t xml:space="preserve">DO NOT USE - WAS REPAIRS &amp; MAINT.  </t>
  </si>
  <si>
    <t xml:space="preserve">CONTRACT - COMPACTOR               </t>
  </si>
  <si>
    <t xml:space="preserve">CONTRACT - WATER TREATMENT         </t>
  </si>
  <si>
    <t xml:space="preserve">CONTRACT - CARPET                  </t>
  </si>
  <si>
    <t xml:space="preserve">CONTRACT - HEATING                 </t>
  </si>
  <si>
    <t xml:space="preserve">CONTRACT - ELEVATOR                </t>
  </si>
  <si>
    <t xml:space="preserve">CONTRACT - EXTERMINATOR            </t>
  </si>
  <si>
    <t>DO NOT USE - WAS CONTRACT - FIRE PR</t>
  </si>
  <si>
    <t xml:space="preserve">CONTRACT - A/C                     </t>
  </si>
  <si>
    <t xml:space="preserve">CONTRACT-FLOWERS/LANDSCAPING       </t>
  </si>
  <si>
    <t xml:space="preserve">CONTRACT - SNOW REMOVAL            </t>
  </si>
  <si>
    <t xml:space="preserve">CONTRACT - SCAFFOLDING             </t>
  </si>
  <si>
    <t xml:space="preserve">CONTRACT - METAL/MARBLE            </t>
  </si>
  <si>
    <t xml:space="preserve">CONTRACT - CLEANING                </t>
  </si>
  <si>
    <t xml:space="preserve">CONTRACT - OTHER                   </t>
  </si>
  <si>
    <t xml:space="preserve">CONTRACT - KEYS                    </t>
  </si>
  <si>
    <t xml:space="preserve">CONTRACT - SECURITY/INTERCOM       </t>
  </si>
  <si>
    <t>DO NOT USE - WAS CONTRACT - FLOWERS</t>
  </si>
  <si>
    <t xml:space="preserve">CONTRACT - WINDOW CLEANING         </t>
  </si>
  <si>
    <t xml:space="preserve">CONTRACT - FIRE PROTECTION         </t>
  </si>
  <si>
    <t xml:space="preserve">RECLASS                            </t>
  </si>
  <si>
    <t xml:space="preserve">APPLIANCE REPAIRS/REPLCMNT         </t>
  </si>
  <si>
    <t xml:space="preserve">BOILER/BURNER/HEATING              </t>
  </si>
  <si>
    <t xml:space="preserve">VENTILATION                        </t>
  </si>
  <si>
    <t xml:space="preserve">COMPACTOR                          </t>
  </si>
  <si>
    <t xml:space="preserve">ELECTRICAL                         </t>
  </si>
  <si>
    <t xml:space="preserve">INTERCOM                           </t>
  </si>
  <si>
    <t xml:space="preserve">ELEVATOR                           </t>
  </si>
  <si>
    <t xml:space="preserve">SECURITY EQUIP/REPAIR              </t>
  </si>
  <si>
    <t xml:space="preserve">FLOORING                           </t>
  </si>
  <si>
    <t xml:space="preserve">PAINTING/PLASTERING                </t>
  </si>
  <si>
    <t xml:space="preserve">JANITORIAL                         </t>
  </si>
  <si>
    <t xml:space="preserve">PLUMBING                           </t>
  </si>
  <si>
    <t xml:space="preserve">PUMPS &amp; MOTORS                     </t>
  </si>
  <si>
    <t xml:space="preserve">SUPPLIES AND HARDWARE              </t>
  </si>
  <si>
    <t xml:space="preserve">HVAC                               </t>
  </si>
  <si>
    <t xml:space="preserve">WINDOWS/DOORS/LOCKS                </t>
  </si>
  <si>
    <t xml:space="preserve">SIGNS R&amp;M                          </t>
  </si>
  <si>
    <t xml:space="preserve">POOL R&amp;M                           </t>
  </si>
  <si>
    <t xml:space="preserve">FACADE R&amp;M                         </t>
  </si>
  <si>
    <t xml:space="preserve">GENERAL REPAIRS                    </t>
  </si>
  <si>
    <t xml:space="preserve">SIDEWALK/PAVEMENT R&amp;M              </t>
  </si>
  <si>
    <t xml:space="preserve">LANDSCAPING/FLOWER                 </t>
  </si>
  <si>
    <t xml:space="preserve">RUBBISH/SNOW REMOVAL               </t>
  </si>
  <si>
    <t xml:space="preserve">1ST MORTGAGE PAYMENT               </t>
  </si>
  <si>
    <t xml:space="preserve">2ND MORTGAGE PAYMENT               </t>
  </si>
  <si>
    <t xml:space="preserve">INTEREST LINE OF CREDIT            </t>
  </si>
  <si>
    <t xml:space="preserve">INTEREST 2ND LINE OF CREDIT        </t>
  </si>
  <si>
    <t xml:space="preserve">MORTGAGE INSURANCE PREMIUM         </t>
  </si>
  <si>
    <t xml:space="preserve">REPLACEMENT RESERVE                </t>
  </si>
  <si>
    <t xml:space="preserve">DO NOT USE - WAS NON OPER. INCOME  </t>
  </si>
  <si>
    <t xml:space="preserve">TRANSFER EXPENSE                   </t>
  </si>
  <si>
    <t xml:space="preserve">PREVIOUS MGMT INTERCO.             </t>
  </si>
  <si>
    <t xml:space="preserve">APT. ACQUISITION                   </t>
  </si>
  <si>
    <t xml:space="preserve">RENOVATIONS                        </t>
  </si>
  <si>
    <t xml:space="preserve">EQUITY SELLER/DISTRIBUTION         </t>
  </si>
  <si>
    <t xml:space="preserve">FINANCE EXPENSES                   </t>
  </si>
  <si>
    <t xml:space="preserve">CAPITAL WINDOWS                    </t>
  </si>
  <si>
    <t xml:space="preserve">CAPITAL HVAC                       </t>
  </si>
  <si>
    <t xml:space="preserve">CAPITAL ELEVATOR                   </t>
  </si>
  <si>
    <t xml:space="preserve">CAPITAL SECURITY                   </t>
  </si>
  <si>
    <t xml:space="preserve">CAPITAL PLUMBING                   </t>
  </si>
  <si>
    <t xml:space="preserve">CAPITAL ROOF / FACADE              </t>
  </si>
  <si>
    <t xml:space="preserve">CAPITAL LOBBY / HALLWAY            </t>
  </si>
  <si>
    <t xml:space="preserve">CAPITAL COMPACTOR                  </t>
  </si>
  <si>
    <t xml:space="preserve">CAPITAL LEGAL                      </t>
  </si>
  <si>
    <t xml:space="preserve">CAPITAL ENGINEERING / ARCHITECT    </t>
  </si>
  <si>
    <t xml:space="preserve">CAPITAL PROJECT MANAGEMENT         </t>
  </si>
  <si>
    <t>CAPITAL SIDEWALK BRIDGE / SCAFFOLDI</t>
  </si>
  <si>
    <t xml:space="preserve">CAPITAL ENVIRONMENTAL / ASBESTOS   </t>
  </si>
  <si>
    <t xml:space="preserve">CAPITAL CONCRETE / DRIVEWAY        </t>
  </si>
  <si>
    <t xml:space="preserve">CAPITAL DOOR                       </t>
  </si>
  <si>
    <t xml:space="preserve">CAPITAL FLOORING                   </t>
  </si>
  <si>
    <t xml:space="preserve">CAPITAL ELECTRIC/INTERCOM          </t>
  </si>
  <si>
    <t xml:space="preserve">CAPITAL BATHROOM                   </t>
  </si>
  <si>
    <t xml:space="preserve">CAPITAL OTHER                      </t>
  </si>
  <si>
    <t>General Repairs</t>
  </si>
  <si>
    <t>G/L 5101</t>
  </si>
  <si>
    <t>Cash &amp; Cash Equivalents</t>
  </si>
  <si>
    <t>Unrestricted:</t>
  </si>
  <si>
    <t>KWH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</si>
  <si>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</si>
  <si>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</si>
  <si>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</si>
  <si>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</si>
  <si>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</si>
  <si>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</si>
  <si>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</si>
  <si>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</si>
  <si>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 xml:space="preserve">January </t>
  </si>
  <si>
    <t>Accounting Fees</t>
  </si>
  <si>
    <t>Common Charge Increase Required</t>
  </si>
  <si>
    <t>Therm</t>
  </si>
  <si>
    <t>June</t>
  </si>
  <si>
    <t>December</t>
  </si>
  <si>
    <t>Jan-Oct</t>
  </si>
  <si>
    <t>Nov-Dec</t>
  </si>
  <si>
    <t>Payroll &amp; Related Expenses</t>
  </si>
  <si>
    <t>Other Income/Charge</t>
  </si>
  <si>
    <t>Labor &amp; Related</t>
  </si>
  <si>
    <t>Wks</t>
  </si>
  <si>
    <t>Bonus</t>
  </si>
  <si>
    <t>Total Gross Wages:</t>
  </si>
  <si>
    <t>Payroll Taxes &amp; Payroll Related Expenses:</t>
  </si>
  <si>
    <t xml:space="preserve">FICA-Gross Wages *     </t>
  </si>
  <si>
    <t xml:space="preserve">SUI </t>
  </si>
  <si>
    <t xml:space="preserve"> of 1st</t>
  </si>
  <si>
    <t xml:space="preserve">FUI </t>
  </si>
  <si>
    <t xml:space="preserve">NYS Disability </t>
  </si>
  <si>
    <t>per annum per emp</t>
  </si>
  <si>
    <t xml:space="preserve">Worker's Comp. </t>
  </si>
  <si>
    <t>of total gross wages</t>
  </si>
  <si>
    <t xml:space="preserve"> Total Labor &amp; Related:</t>
  </si>
  <si>
    <t>Cost Per Employee</t>
  </si>
  <si>
    <t>Payroll Budget Upload</t>
  </si>
  <si>
    <t>2011 Budget # of Weds</t>
  </si>
  <si>
    <t>Gross Wages</t>
  </si>
  <si>
    <t xml:space="preserve">     Total Gross Wages</t>
  </si>
  <si>
    <t>FICA</t>
  </si>
  <si>
    <t>FUI</t>
  </si>
  <si>
    <t>G/L 5010</t>
  </si>
  <si>
    <t>Worker's Comp</t>
  </si>
  <si>
    <t>G/L 5025</t>
  </si>
  <si>
    <t>Disability</t>
  </si>
  <si>
    <t>G/L 5030</t>
  </si>
  <si>
    <t xml:space="preserve">     Total W/Comp &amp; Disab.</t>
  </si>
  <si>
    <t>Total Payroll</t>
  </si>
  <si>
    <t>HVAC</t>
  </si>
  <si>
    <t>Security Background Check</t>
  </si>
  <si>
    <t>Payroll Summary</t>
  </si>
  <si>
    <t>Common Charges</t>
  </si>
  <si>
    <t>Building #</t>
  </si>
  <si>
    <t>Page 2</t>
  </si>
  <si>
    <t>Add: Interest Income</t>
  </si>
  <si>
    <t>Est.</t>
  </si>
  <si>
    <t>Fannie Mae Reserve Requirement</t>
  </si>
  <si>
    <t>Less: Fannie Mae 10% of Total Expenses</t>
  </si>
  <si>
    <t>Capital Spending</t>
  </si>
  <si>
    <t xml:space="preserve">Prepared By: </t>
  </si>
  <si>
    <t xml:space="preserve">Water &amp; Sewer </t>
  </si>
  <si>
    <t>G/L 5115</t>
  </si>
  <si>
    <t>Est./Actual</t>
  </si>
  <si>
    <t>Meter # :</t>
  </si>
  <si>
    <t>Beginning</t>
  </si>
  <si>
    <t>End Date</t>
  </si>
  <si>
    <t>Billed</t>
  </si>
  <si>
    <t># of  days</t>
  </si>
  <si>
    <t xml:space="preserve"> Balance</t>
  </si>
  <si>
    <t xml:space="preserve"> Projected</t>
  </si>
  <si>
    <t>Total Water &amp; Sewer</t>
  </si>
  <si>
    <t>Rate Increase Used for Budget Water &amp; Sewer</t>
  </si>
  <si>
    <t xml:space="preserve">*    Prorated at </t>
  </si>
  <si>
    <t>Page 8</t>
  </si>
  <si>
    <t>10 Mo. Actual</t>
  </si>
  <si>
    <t>2 Mo. Est. **</t>
  </si>
  <si>
    <t>Gas Heat</t>
  </si>
  <si>
    <t>Add: Flip/Transfer Tax</t>
  </si>
  <si>
    <t>Ptr/Drm/Con</t>
  </si>
  <si>
    <t xml:space="preserve"> Wages:*</t>
  </si>
  <si>
    <t>Ptr/Drm/Concierge</t>
  </si>
  <si>
    <t>Sub-Total:</t>
  </si>
  <si>
    <t>Total P/R Taxes &amp; Related Exps:</t>
  </si>
  <si>
    <t xml:space="preserve">      Total Taxes</t>
  </si>
  <si>
    <t>workers comp</t>
  </si>
  <si>
    <t>Delivery</t>
  </si>
  <si>
    <t>Commodity</t>
  </si>
  <si>
    <t>per KWH</t>
  </si>
  <si>
    <t>$ Per Therm</t>
  </si>
  <si>
    <t>metro card</t>
  </si>
  <si>
    <t>Landscaping/Flowers</t>
  </si>
  <si>
    <t>Windows/Doors/Locks</t>
  </si>
  <si>
    <t>Supplies &amp; Hardware</t>
  </si>
  <si>
    <t>Pump &amp; Motors</t>
  </si>
  <si>
    <t>Security Equip/Repair</t>
  </si>
  <si>
    <t>Contract-Fire Protection</t>
  </si>
  <si>
    <t>Contract-Cleaning</t>
  </si>
  <si>
    <t>Contract-Flowers/Landscape</t>
  </si>
  <si>
    <t>Contract-A/C</t>
  </si>
  <si>
    <t>Contract-Exterminator</t>
  </si>
  <si>
    <t>Contract-Elevator</t>
  </si>
  <si>
    <t>Contract-Water Treatment</t>
  </si>
  <si>
    <t>Mths</t>
  </si>
  <si>
    <t>TransitCenter</t>
  </si>
  <si>
    <t>Supporting Budget Schedules</t>
  </si>
  <si>
    <t>Income Analysis</t>
  </si>
  <si>
    <t>Special Assessments</t>
  </si>
  <si>
    <t>Payroll &amp; Related Benefits</t>
  </si>
  <si>
    <t>Repairs and Maintenance</t>
  </si>
  <si>
    <t>7A</t>
  </si>
  <si>
    <t>Water &amp; Sewer Charges</t>
  </si>
  <si>
    <t>Capital Improvements</t>
  </si>
  <si>
    <t>Category</t>
  </si>
  <si>
    <t>Est</t>
  </si>
  <si>
    <t>Capital Roof/Façade</t>
  </si>
  <si>
    <t>Jan - Oct</t>
  </si>
  <si>
    <t>Capital HVAC</t>
  </si>
  <si>
    <t>Electric &amp; Cooking Gas</t>
  </si>
  <si>
    <t>Page 5</t>
  </si>
  <si>
    <t>Page 7A</t>
  </si>
  <si>
    <t>Page 9</t>
  </si>
  <si>
    <t xml:space="preserve">Checked By: </t>
  </si>
  <si>
    <t>Total Capital Program</t>
  </si>
  <si>
    <t>Employee Reimbursements</t>
  </si>
  <si>
    <t>G/L 5035</t>
  </si>
  <si>
    <t xml:space="preserve">Electric &amp; Gas </t>
  </si>
  <si>
    <t>Heating</t>
  </si>
  <si>
    <t>Fines &amp; Penalties</t>
  </si>
  <si>
    <t>Uniforms</t>
  </si>
  <si>
    <t>Boiler/Burner/Heating</t>
  </si>
  <si>
    <t>Year End Bonus:</t>
  </si>
  <si>
    <t>Jan to Dec</t>
  </si>
  <si>
    <t>Jan to May</t>
  </si>
  <si>
    <t>Jun to Dec</t>
  </si>
  <si>
    <t>Oct to Dec</t>
  </si>
  <si>
    <t>3 Months</t>
  </si>
  <si>
    <t>0 Months</t>
  </si>
  <si>
    <t>Nov - Dec</t>
  </si>
  <si>
    <t>** Includes Accrual Adjustments</t>
  </si>
  <si>
    <t>Delivery:</t>
  </si>
  <si>
    <t>Supply:</t>
  </si>
  <si>
    <t>Heating Usage: Based on two year average consumption.</t>
  </si>
  <si>
    <t>Health Insurance</t>
  </si>
  <si>
    <t xml:space="preserve">Per Month </t>
  </si>
  <si>
    <t>Super</t>
  </si>
  <si>
    <t>G/L 5015</t>
  </si>
  <si>
    <t>For Year Ending 12/31/15</t>
  </si>
  <si>
    <t>2015 Operating Budget</t>
  </si>
  <si>
    <t>2015 Operating Budget With Comparative Data</t>
  </si>
  <si>
    <t>2015 Expense Pie Chart</t>
  </si>
  <si>
    <t>@ 10/31/14</t>
  </si>
  <si>
    <t>Bank Charges</t>
  </si>
  <si>
    <t>Equipment Repair/Office</t>
  </si>
  <si>
    <t xml:space="preserve">Community Association Dues         </t>
  </si>
  <si>
    <t>GL</t>
  </si>
  <si>
    <t>Capital Engineering/Architect</t>
  </si>
  <si>
    <t>Capital Electric/Intercom</t>
  </si>
  <si>
    <t>G/L ACCT</t>
  </si>
  <si>
    <t>days for period 01/01/14 to 03/25/14</t>
  </si>
  <si>
    <t>2015 Budget</t>
  </si>
  <si>
    <t>2015 Budget Assumptions:</t>
  </si>
  <si>
    <t>2015 price reflects a percentage increase over prior year average costs @</t>
  </si>
  <si>
    <t>2015 Price reflects an increase over prior year costs @</t>
  </si>
  <si>
    <t>2015 Electric Usage: Based on average yearly consumption</t>
  </si>
  <si>
    <t>2015 Gas Usage: Based on average yearly consumption</t>
  </si>
  <si>
    <t>Fall 2014 Price Per KWH:</t>
  </si>
  <si>
    <t>Fall 2014 Price Per Therm:</t>
  </si>
  <si>
    <t>2014 Fall Delivery</t>
  </si>
  <si>
    <t>2014 Fall Commodity</t>
  </si>
  <si>
    <t>2015 Delivery</t>
  </si>
  <si>
    <t>2015 Commodity</t>
  </si>
  <si>
    <t>Relief</t>
  </si>
  <si>
    <t>Add: RE Tax Refund</t>
  </si>
  <si>
    <t>32 BJ Rates/Benefits Non-Union (ADP Code NFM)</t>
  </si>
  <si>
    <t>Health Insurance*</t>
  </si>
  <si>
    <t>Part Timer</t>
  </si>
  <si>
    <t>Part-Time Doorman</t>
  </si>
  <si>
    <t>Gross Payroll was multiplied by 1.15384615 to bring the pay year to</t>
  </si>
  <si>
    <t>60 weeks to allow for sick days, holidays, overtime and vacation pay:</t>
  </si>
  <si>
    <t>Annual Charge</t>
  </si>
  <si>
    <t>/wk</t>
  </si>
  <si>
    <t>Total Cash &amp; Cash Equivalents @ 12/31/14</t>
  </si>
  <si>
    <t>Final</t>
  </si>
  <si>
    <t>BUDIMP.PBL</t>
  </si>
  <si>
    <t>V6.0.02</t>
  </si>
  <si>
    <t>H5 BUDGET GL IMPORT</t>
  </si>
  <si>
    <t>CONTROL CODE LEGEND COLUMN D</t>
  </si>
  <si>
    <t>FISCAL YEAR BEGIN</t>
  </si>
  <si>
    <t>0 = IMPORT ALL 12 BUCKETS AS SHOWN</t>
  </si>
  <si>
    <t>YYYYMM</t>
  </si>
  <si>
    <t>1 = DIVIDE COLUMN E BY 12 TO GET MONTHS</t>
  </si>
  <si>
    <t>CONTROL</t>
  </si>
  <si>
    <t>BUDGET</t>
  </si>
  <si>
    <t>BUILDING</t>
  </si>
  <si>
    <t>DESCRIPTION (NOT IMPORTED)</t>
  </si>
  <si>
    <t>CODE (0,1)</t>
  </si>
  <si>
    <t>ANNUAL TARGET</t>
  </si>
  <si>
    <t>---JAN---</t>
  </si>
  <si>
    <t>---FEB---</t>
  </si>
  <si>
    <t>---MAR---</t>
  </si>
  <si>
    <t>---APR---</t>
  </si>
  <si>
    <t>---MAY---</t>
  </si>
  <si>
    <t>---JUN---</t>
  </si>
  <si>
    <t>---JUL---</t>
  </si>
  <si>
    <t>---AUG---</t>
  </si>
  <si>
    <t>---SEP---</t>
  </si>
  <si>
    <t>---OCT---</t>
  </si>
  <si>
    <t>---NOV---</t>
  </si>
  <si>
    <t xml:space="preserve">---DEC--- </t>
  </si>
  <si>
    <t>TOTALS</t>
  </si>
  <si>
    <t>Sample Ave Condominium</t>
  </si>
  <si>
    <t>A/C # 42-5037-1493-1111-6</t>
  </si>
  <si>
    <t>Electric-A/C # 42-5037-1493-1111-6 EL9</t>
  </si>
  <si>
    <t>A/C # 425037149361111-HWCK</t>
  </si>
  <si>
    <t>A/C#90010-05815-002</t>
  </si>
  <si>
    <t>V84015040</t>
  </si>
  <si>
    <t>Capital Sidewalk Repair</t>
  </si>
  <si>
    <t>Citi - Operating Account</t>
  </si>
  <si>
    <t>Bank of America - Money Market Reserve</t>
  </si>
  <si>
    <t>Bank Atlantic -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</si>
</sst>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  <numFmt numFmtId="166" formatCode="0_);[Red]\(0\)"/>
    <numFmt numFmtId="167" formatCode="0.00000"/>
    <numFmt numFmtId="168" formatCode="0.0000%"/>
    <numFmt numFmtId="169" formatCode="&quot;$&quot;#,##0.000000_);\(&quot;$&quot;#,##0.000000\)"/>
    <numFmt numFmtId="170" formatCode="0.0%"/>
    <numFmt numFmtId="171" formatCode="0.000000%"/>
    <numFmt numFmtId="172" formatCode="&quot;$&quot;#,##0.00"/>
    <numFmt numFmtId="173" formatCode="&quot;$&quot;#,##0.000"/>
    <numFmt numFmtId="174" formatCode="0.000000_);[Red]\(0.000000\)"/>
    <numFmt numFmtId="175" formatCode="_(* #,##0_);_(* \(#,##0\);_(* &quot;-&quot;??_);_(@_)"/>
    <numFmt numFmtId="176" formatCode="_(&quot;$&quot;* #,##0_);_(&quot;$&quot;* \(#,##0\);_(&quot;$&quot;* &quot;-&quot;??_);_(@_)"/>
    <numFmt numFmtId="177" formatCode="&quot;$&quot;#,##0.000_);\(&quot;$&quot;#,##0.000\)"/>
    <numFmt numFmtId="178" formatCode="&quot;$&quot;#,##0.0000000_);\(&quot;$&quot;#,##0.0000000\)"/>
    <numFmt numFmtId="179" formatCode="0.000%"/>
  </numFmts>
  <fonts count="75">
    <font>
      <sz val="12"/>
      <name val="Arial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u/>
      <sz val="12"/>
      <color indexed="8"/>
      <name val="Arial"/>
      <family val="2"/>
    </font>
    <font>
      <sz val="11"/>
      <name val="Arial"/>
      <family val="2"/>
    </font>
    <font>
      <b/>
      <u/>
      <sz val="12"/>
      <color indexed="8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i/>
      <sz val="11"/>
      <name val="Arial"/>
      <family val="2"/>
    </font>
    <font>
      <b/>
      <i/>
      <u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u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sz val="11"/>
      <name val="CG Omeg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2"/>
      <name val="Arial M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indexed="8"/>
      <name val="Arial"/>
      <family val="2"/>
    </font>
    <font>
      <i/>
      <u/>
      <sz val="12"/>
      <name val="Arial"/>
      <family val="2"/>
    </font>
    <font>
      <b/>
      <sz val="14"/>
      <color rgb="FF00B0F0"/>
      <name val="Arial"/>
      <family val="2"/>
    </font>
    <font>
      <b/>
      <sz val="20"/>
      <color rgb="FF00B0F0"/>
      <name val="Arial"/>
      <family val="2"/>
    </font>
    <font>
      <sz val="12"/>
      <color rgb="FFFF0000"/>
      <name val="Arial"/>
      <family val="2"/>
    </font>
    <font>
      <sz val="11"/>
      <color rgb="FF00B05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29">
    <xf numFmtId="5" fontId="0" fillId="2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10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36" fillId="0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37" fontId="7" fillId="2" borderId="0"/>
    <xf numFmtId="0" fontId="7" fillId="2" borderId="0"/>
    <xf numFmtId="9" fontId="6" fillId="0" borderId="0" applyFont="0" applyFill="0" applyBorder="0" applyAlignment="0" applyProtection="0"/>
    <xf numFmtId="0" fontId="4" fillId="0" borderId="0"/>
    <xf numFmtId="0" fontId="15" fillId="2" borderId="0"/>
    <xf numFmtId="44" fontId="7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14" fontId="62" fillId="0" borderId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53" fillId="7" borderId="50" applyNumberFormat="0" applyAlignment="0" applyProtection="0"/>
    <xf numFmtId="0" fontId="53" fillId="7" borderId="50" applyNumberFormat="0" applyAlignment="0" applyProtection="0"/>
    <xf numFmtId="0" fontId="55" fillId="8" borderId="53" applyNumberFormat="0" applyAlignment="0" applyProtection="0"/>
    <xf numFmtId="0" fontId="55" fillId="8" borderId="53" applyNumberFormat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56" applyNumberFormat="0" applyFon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7" fillId="0" borderId="49" applyNumberFormat="0" applyFill="0" applyAlignment="0" applyProtection="0"/>
    <xf numFmtId="0" fontId="47" fillId="0" borderId="4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34" borderId="14" applyNumberFormat="0" applyFont="0" applyBorder="0" applyAlignment="0" applyProtection="0"/>
    <xf numFmtId="37" fontId="62" fillId="0" borderId="0" applyBorder="0"/>
    <xf numFmtId="0" fontId="51" fillId="6" borderId="50" applyNumberFormat="0" applyAlignment="0" applyProtection="0"/>
    <xf numFmtId="0" fontId="51" fillId="6" borderId="50" applyNumberFormat="0" applyAlignment="0" applyProtection="0"/>
    <xf numFmtId="0" fontId="54" fillId="0" borderId="52" applyNumberFormat="0" applyFill="0" applyAlignment="0" applyProtection="0"/>
    <xf numFmtId="0" fontId="54" fillId="0" borderId="52" applyNumberFormat="0" applyFill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5" fontId="7" fillId="2" borderId="0"/>
    <xf numFmtId="0" fontId="4" fillId="0" borderId="0"/>
    <xf numFmtId="0" fontId="4" fillId="0" borderId="0"/>
    <xf numFmtId="0" fontId="4" fillId="0" borderId="0"/>
    <xf numFmtId="0" fontId="15" fillId="2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54" applyNumberFormat="0" applyFont="0" applyAlignment="0" applyProtection="0"/>
    <xf numFmtId="0" fontId="4" fillId="9" borderId="54" applyNumberFormat="0" applyFont="0" applyAlignment="0" applyProtection="0"/>
    <xf numFmtId="0" fontId="6" fillId="0" borderId="56" applyNumberFormat="0" applyFont="0" applyFill="0" applyAlignment="0" applyProtection="0"/>
    <xf numFmtId="0" fontId="52" fillId="7" borderId="51" applyNumberFormat="0" applyAlignment="0" applyProtection="0"/>
    <xf numFmtId="0" fontId="52" fillId="7" borderId="51" applyNumberFormat="0" applyAlignment="0" applyProtection="0"/>
    <xf numFmtId="0" fontId="6" fillId="0" borderId="57" applyNumberFormat="0" applyFont="0" applyFill="0" applyAlignment="0" applyProtection="0"/>
    <xf numFmtId="49" fontId="6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>
      <alignment horizontal="center"/>
    </xf>
    <xf numFmtId="0" fontId="65" fillId="0" borderId="0">
      <alignment horizontal="center"/>
    </xf>
    <xf numFmtId="0" fontId="58" fillId="0" borderId="55" applyNumberFormat="0" applyFill="0" applyAlignment="0" applyProtection="0"/>
    <xf numFmtId="0" fontId="58" fillId="0" borderId="55" applyNumberFormat="0" applyFill="0" applyAlignment="0" applyProtection="0"/>
    <xf numFmtId="0" fontId="6" fillId="34" borderId="0" applyNumberFormat="0" applyFont="0" applyBorder="0" applyAlignment="0" applyProtection="0"/>
    <xf numFmtId="0" fontId="6" fillId="0" borderId="21" applyNumberFormat="0" applyFon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" fillId="2" borderId="0"/>
    <xf numFmtId="0" fontId="3" fillId="0" borderId="0"/>
    <xf numFmtId="43" fontId="6" fillId="0" borderId="0" applyFont="0" applyFill="0" applyBorder="0" applyAlignment="0" applyProtection="0"/>
    <xf numFmtId="5" fontId="7" fillId="2" borderId="0"/>
    <xf numFmtId="0" fontId="1" fillId="0" borderId="0"/>
  </cellStyleXfs>
  <cellXfs count="609">
    <xf numFmtId="5" fontId="0" fillId="2" borderId="0" xfId="0" applyNumberFormat="1"/>
    <xf numFmtId="5" fontId="0" fillId="0" borderId="0" xfId="0" applyNumberFormat="1" applyFill="1"/>
    <xf numFmtId="37" fontId="0" fillId="0" borderId="1" xfId="0" applyNumberFormat="1" applyFill="1" applyBorder="1"/>
    <xf numFmtId="37" fontId="0" fillId="0" borderId="2" xfId="0" applyNumberFormat="1" applyFill="1" applyBorder="1" applyAlignment="1">
      <alignment horizontal="center"/>
    </xf>
    <xf numFmtId="37" fontId="5" fillId="0" borderId="1" xfId="0" applyNumberFormat="1" applyFont="1" applyFill="1" applyBorder="1"/>
    <xf numFmtId="37" fontId="0" fillId="0" borderId="3" xfId="0" applyNumberFormat="1" applyFill="1" applyBorder="1"/>
    <xf numFmtId="37" fontId="0" fillId="0" borderId="0" xfId="0" applyNumberFormat="1" applyFill="1"/>
    <xf numFmtId="0" fontId="7" fillId="0" borderId="0" xfId="6" applyNumberFormat="1" applyFill="1"/>
    <xf numFmtId="0" fontId="7" fillId="0" borderId="0" xfId="12" applyNumberFormat="1" applyFill="1" applyAlignment="1">
      <alignment horizontal="center"/>
    </xf>
    <xf numFmtId="0" fontId="7" fillId="0" borderId="0" xfId="11" applyNumberFormat="1" applyFill="1"/>
    <xf numFmtId="0" fontId="7" fillId="0" borderId="0" xfId="10" applyNumberFormat="1" applyFill="1"/>
    <xf numFmtId="0" fontId="7" fillId="0" borderId="0" xfId="9" applyNumberFormat="1" applyFill="1"/>
    <xf numFmtId="5" fontId="7" fillId="0" borderId="0" xfId="9" applyNumberFormat="1" applyFill="1"/>
    <xf numFmtId="5" fontId="9" fillId="0" borderId="0" xfId="0" applyNumberFormat="1" applyFont="1" applyFill="1"/>
    <xf numFmtId="0" fontId="10" fillId="0" borderId="0" xfId="4" applyNumberFormat="1" applyFont="1" applyFill="1"/>
    <xf numFmtId="0" fontId="12" fillId="0" borderId="0" xfId="4" applyNumberFormat="1" applyFont="1" applyFill="1"/>
    <xf numFmtId="0" fontId="10" fillId="0" borderId="0" xfId="4" applyNumberFormat="1" applyFont="1" applyFill="1" applyAlignment="1">
      <alignment horizontal="center"/>
    </xf>
    <xf numFmtId="0" fontId="14" fillId="0" borderId="0" xfId="4" applyNumberFormat="1" applyFont="1" applyFill="1"/>
    <xf numFmtId="5" fontId="12" fillId="0" borderId="0" xfId="4" applyNumberFormat="1" applyFont="1" applyFill="1"/>
    <xf numFmtId="37" fontId="12" fillId="0" borderId="0" xfId="4" applyNumberFormat="1" applyFont="1" applyFill="1"/>
    <xf numFmtId="37" fontId="14" fillId="0" borderId="0" xfId="4" applyNumberFormat="1" applyFont="1" applyFill="1"/>
    <xf numFmtId="37" fontId="10" fillId="0" borderId="0" xfId="4" applyNumberFormat="1" applyFont="1" applyFill="1"/>
    <xf numFmtId="10" fontId="10" fillId="0" borderId="0" xfId="4" applyNumberFormat="1" applyFont="1" applyFill="1"/>
    <xf numFmtId="10" fontId="12" fillId="0" borderId="0" xfId="4" applyNumberFormat="1" applyFont="1" applyFill="1" applyAlignment="1">
      <alignment horizontal="center"/>
    </xf>
    <xf numFmtId="37" fontId="12" fillId="0" borderId="0" xfId="4" applyNumberFormat="1" applyFont="1" applyFill="1" applyBorder="1"/>
    <xf numFmtId="0" fontId="9" fillId="0" borderId="0" xfId="9" applyNumberFormat="1" applyFont="1" applyFill="1"/>
    <xf numFmtId="5" fontId="9" fillId="0" borderId="0" xfId="13" applyNumberFormat="1" applyFont="1" applyFill="1"/>
    <xf numFmtId="0" fontId="15" fillId="0" borderId="0" xfId="13" applyNumberFormat="1" applyFont="1" applyFill="1"/>
    <xf numFmtId="0" fontId="15" fillId="0" borderId="4" xfId="13" applyNumberFormat="1" applyFont="1" applyFill="1" applyBorder="1" applyAlignment="1">
      <alignment horizontal="center"/>
    </xf>
    <xf numFmtId="1" fontId="0" fillId="0" borderId="5" xfId="0" applyNumberFormat="1" applyFill="1" applyBorder="1"/>
    <xf numFmtId="1" fontId="0" fillId="0" borderId="0" xfId="0" applyNumberFormat="1" applyFill="1"/>
    <xf numFmtId="0" fontId="7" fillId="0" borderId="0" xfId="5" applyNumberFormat="1" applyFont="1" applyFill="1" applyAlignment="1">
      <alignment horizontal="left"/>
    </xf>
    <xf numFmtId="0" fontId="9" fillId="0" borderId="0" xfId="10" applyNumberFormat="1" applyFont="1" applyFill="1"/>
    <xf numFmtId="0" fontId="9" fillId="0" borderId="0" xfId="7" applyNumberFormat="1" applyFont="1" applyFill="1"/>
    <xf numFmtId="0" fontId="12" fillId="0" borderId="0" xfId="6" applyNumberFormat="1" applyFont="1" applyFill="1"/>
    <xf numFmtId="0" fontId="12" fillId="0" borderId="0" xfId="6" applyNumberFormat="1" applyFont="1" applyFill="1" applyAlignment="1">
      <alignment horizontal="center"/>
    </xf>
    <xf numFmtId="37" fontId="7" fillId="0" borderId="0" xfId="14" applyNumberFormat="1" applyFill="1"/>
    <xf numFmtId="37" fontId="7" fillId="0" borderId="7" xfId="14" applyNumberFormat="1" applyFill="1" applyBorder="1"/>
    <xf numFmtId="37" fontId="7" fillId="0" borderId="8" xfId="14" applyNumberFormat="1" applyFill="1" applyBorder="1"/>
    <xf numFmtId="37" fontId="7" fillId="0" borderId="9" xfId="14" applyNumberFormat="1" applyFill="1" applyBorder="1"/>
    <xf numFmtId="37" fontId="7" fillId="0" borderId="10" xfId="14" applyNumberFormat="1" applyFill="1" applyBorder="1"/>
    <xf numFmtId="37" fontId="7" fillId="0" borderId="11" xfId="14" applyNumberFormat="1" applyFill="1" applyBorder="1"/>
    <xf numFmtId="37" fontId="7" fillId="0" borderId="12" xfId="14" applyNumberFormat="1" applyFill="1" applyBorder="1"/>
    <xf numFmtId="37" fontId="7" fillId="0" borderId="13" xfId="14" applyNumberFormat="1" applyFill="1" applyBorder="1"/>
    <xf numFmtId="37" fontId="7" fillId="0" borderId="14" xfId="14" applyNumberFormat="1" applyFill="1" applyBorder="1"/>
    <xf numFmtId="37" fontId="7" fillId="0" borderId="15" xfId="14" applyNumberFormat="1" applyFill="1" applyBorder="1"/>
    <xf numFmtId="37" fontId="7" fillId="0" borderId="0" xfId="14" applyNumberFormat="1" applyFill="1" applyBorder="1"/>
    <xf numFmtId="37" fontId="7" fillId="0" borderId="16" xfId="14" applyNumberFormat="1" applyFill="1" applyBorder="1"/>
    <xf numFmtId="37" fontId="7" fillId="0" borderId="17" xfId="14" applyNumberFormat="1" applyFill="1" applyBorder="1"/>
    <xf numFmtId="37" fontId="7" fillId="0" borderId="6" xfId="14" applyNumberFormat="1" applyFill="1" applyBorder="1"/>
    <xf numFmtId="37" fontId="7" fillId="0" borderId="18" xfId="14" applyNumberFormat="1" applyFill="1" applyBorder="1"/>
    <xf numFmtId="37" fontId="7" fillId="0" borderId="19" xfId="14" applyNumberFormat="1" applyFill="1" applyBorder="1"/>
    <xf numFmtId="37" fontId="7" fillId="0" borderId="20" xfId="14" applyNumberFormat="1" applyFill="1" applyBorder="1"/>
    <xf numFmtId="37" fontId="7" fillId="0" borderId="21" xfId="14" applyNumberFormat="1" applyFill="1" applyBorder="1"/>
    <xf numFmtId="37" fontId="7" fillId="0" borderId="22" xfId="14" applyNumberFormat="1" applyFill="1" applyBorder="1"/>
    <xf numFmtId="0" fontId="13" fillId="0" borderId="23" xfId="4" applyNumberFormat="1" applyFont="1" applyFill="1" applyBorder="1" applyAlignment="1">
      <alignment horizontal="center"/>
    </xf>
    <xf numFmtId="37" fontId="7" fillId="0" borderId="15" xfId="14" applyNumberFormat="1" applyFont="1" applyFill="1" applyBorder="1"/>
    <xf numFmtId="6" fontId="0" fillId="0" borderId="3" xfId="0" applyNumberFormat="1" applyFill="1" applyBorder="1"/>
    <xf numFmtId="6" fontId="12" fillId="0" borderId="0" xfId="4" applyNumberFormat="1" applyFont="1" applyFill="1"/>
    <xf numFmtId="0" fontId="21" fillId="0" borderId="0" xfId="13" applyNumberFormat="1" applyFont="1" applyFill="1" applyAlignment="1">
      <alignment horizontal="center"/>
    </xf>
    <xf numFmtId="0" fontId="21" fillId="0" borderId="4" xfId="13" quotePrefix="1" applyNumberFormat="1" applyFont="1" applyFill="1" applyBorder="1" applyAlignment="1">
      <alignment horizontal="center"/>
    </xf>
    <xf numFmtId="0" fontId="20" fillId="0" borderId="0" xfId="9" applyNumberFormat="1" applyFont="1" applyFill="1" applyAlignment="1">
      <alignment horizontal="center"/>
    </xf>
    <xf numFmtId="0" fontId="7" fillId="0" borderId="0" xfId="6" applyNumberFormat="1" applyFont="1" applyFill="1"/>
    <xf numFmtId="1" fontId="0" fillId="0" borderId="26" xfId="0" quotePrefix="1" applyNumberFormat="1" applyFill="1" applyBorder="1" applyAlignment="1">
      <alignment horizontal="center"/>
    </xf>
    <xf numFmtId="37" fontId="23" fillId="0" borderId="2" xfId="0" applyNumberFormat="1" applyFont="1" applyFill="1" applyBorder="1" applyAlignment="1">
      <alignment horizontal="center"/>
    </xf>
    <xf numFmtId="0" fontId="25" fillId="0" borderId="0" xfId="4" applyNumberFormat="1" applyFont="1" applyFill="1"/>
    <xf numFmtId="5" fontId="26" fillId="2" borderId="0" xfId="0" applyFont="1"/>
    <xf numFmtId="5" fontId="10" fillId="0" borderId="0" xfId="4" applyNumberFormat="1" applyFont="1" applyFill="1"/>
    <xf numFmtId="37" fontId="7" fillId="0" borderId="0" xfId="14" applyNumberFormat="1" applyFont="1" applyFill="1"/>
    <xf numFmtId="0" fontId="7" fillId="0" borderId="0" xfId="6" applyNumberFormat="1" applyFont="1" applyFill="1" applyAlignment="1">
      <alignment horizontal="center"/>
    </xf>
    <xf numFmtId="0" fontId="27" fillId="0" borderId="0" xfId="13" applyNumberFormat="1" applyFont="1" applyFill="1"/>
    <xf numFmtId="0" fontId="7" fillId="0" borderId="0" xfId="6" applyNumberFormat="1" applyFill="1" applyAlignment="1">
      <alignment horizontal="center"/>
    </xf>
    <xf numFmtId="37" fontId="28" fillId="0" borderId="0" xfId="4" applyNumberFormat="1" applyFont="1" applyFill="1"/>
    <xf numFmtId="5" fontId="23" fillId="2" borderId="0" xfId="0" applyNumberFormat="1" applyFont="1"/>
    <xf numFmtId="37" fontId="0" fillId="0" borderId="0" xfId="0" applyNumberFormat="1" applyFill="1" applyBorder="1"/>
    <xf numFmtId="5" fontId="15" fillId="0" borderId="0" xfId="13" applyNumberFormat="1" applyFont="1" applyFill="1" applyBorder="1"/>
    <xf numFmtId="37" fontId="0" fillId="0" borderId="28" xfId="0" applyNumberFormat="1" applyFill="1" applyBorder="1"/>
    <xf numFmtId="6" fontId="12" fillId="0" borderId="0" xfId="4" applyNumberFormat="1" applyFont="1" applyFill="1" applyBorder="1"/>
    <xf numFmtId="38" fontId="15" fillId="0" borderId="0" xfId="13" applyNumberFormat="1" applyFont="1" applyFill="1" applyBorder="1"/>
    <xf numFmtId="10" fontId="7" fillId="0" borderId="0" xfId="10" applyNumberFormat="1" applyFill="1" applyAlignment="1">
      <alignment horizontal="left"/>
    </xf>
    <xf numFmtId="37" fontId="8" fillId="0" borderId="0" xfId="4" applyNumberFormat="1" applyFont="1" applyFill="1"/>
    <xf numFmtId="0" fontId="33" fillId="0" borderId="0" xfId="13" applyNumberFormat="1" applyFont="1" applyFill="1"/>
    <xf numFmtId="0" fontId="10" fillId="0" borderId="0" xfId="13" applyNumberFormat="1" applyFont="1" applyFill="1"/>
    <xf numFmtId="5" fontId="10" fillId="0" borderId="0" xfId="13" applyNumberFormat="1" applyFont="1" applyFill="1"/>
    <xf numFmtId="37" fontId="10" fillId="0" borderId="0" xfId="13" applyNumberFormat="1" applyFont="1" applyFill="1"/>
    <xf numFmtId="0" fontId="10" fillId="0" borderId="0" xfId="13" applyNumberFormat="1" applyFont="1" applyFill="1" applyAlignment="1">
      <alignment horizontal="right"/>
    </xf>
    <xf numFmtId="0" fontId="21" fillId="0" borderId="4" xfId="13" applyNumberFormat="1" applyFon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5" fontId="0" fillId="0" borderId="0" xfId="0" applyNumberFormat="1" applyFill="1" applyBorder="1"/>
    <xf numFmtId="5" fontId="0" fillId="2" borderId="0" xfId="0" applyNumberFormat="1" applyAlignment="1">
      <alignment horizontal="center"/>
    </xf>
    <xf numFmtId="0" fontId="19" fillId="0" borderId="0" xfId="13" applyNumberFormat="1" applyFont="1" applyFill="1"/>
    <xf numFmtId="0" fontId="19" fillId="0" borderId="0" xfId="5" applyNumberFormat="1" applyFont="1" applyFill="1"/>
    <xf numFmtId="0" fontId="9" fillId="0" borderId="0" xfId="10" applyNumberFormat="1" applyFont="1" applyFill="1" applyAlignment="1"/>
    <xf numFmtId="0" fontId="7" fillId="0" borderId="0" xfId="11" quotePrefix="1" applyNumberFormat="1" applyFont="1" applyFill="1"/>
    <xf numFmtId="6" fontId="7" fillId="0" borderId="0" xfId="10" applyNumberFormat="1" applyFill="1"/>
    <xf numFmtId="0" fontId="9" fillId="0" borderId="0" xfId="10" quotePrefix="1" applyNumberFormat="1" applyFont="1" applyFill="1" applyAlignment="1"/>
    <xf numFmtId="37" fontId="9" fillId="0" borderId="0" xfId="10" applyNumberFormat="1" applyFont="1" applyFill="1"/>
    <xf numFmtId="37" fontId="9" fillId="0" borderId="0" xfId="14" applyNumberFormat="1" applyFont="1" applyFill="1" applyBorder="1"/>
    <xf numFmtId="0" fontId="9" fillId="0" borderId="0" xfId="9" applyNumberFormat="1" applyFont="1" applyFill="1" applyAlignment="1">
      <alignment horizontal="left"/>
    </xf>
    <xf numFmtId="0" fontId="15" fillId="0" borderId="0" xfId="13" applyNumberFormat="1" applyFont="1" applyFill="1" applyBorder="1" applyAlignment="1">
      <alignment horizontal="center"/>
    </xf>
    <xf numFmtId="0" fontId="19" fillId="0" borderId="0" xfId="4" applyNumberFormat="1" applyFont="1" applyFill="1"/>
    <xf numFmtId="10" fontId="11" fillId="0" borderId="0" xfId="4" applyNumberFormat="1" applyFont="1" applyFill="1" applyBorder="1"/>
    <xf numFmtId="5" fontId="35" fillId="2" borderId="0" xfId="0" applyFont="1" applyAlignment="1">
      <alignment horizontal="center"/>
    </xf>
    <xf numFmtId="5" fontId="0" fillId="2" borderId="0" xfId="0"/>
    <xf numFmtId="5" fontId="26" fillId="2" borderId="0" xfId="0" applyNumberFormat="1" applyFont="1"/>
    <xf numFmtId="5" fontId="0" fillId="2" borderId="0" xfId="0" applyAlignment="1">
      <alignment horizontal="center"/>
    </xf>
    <xf numFmtId="6" fontId="23" fillId="2" borderId="0" xfId="0" applyNumberFormat="1" applyFont="1"/>
    <xf numFmtId="6" fontId="0" fillId="2" borderId="0" xfId="0" applyNumberFormat="1"/>
    <xf numFmtId="6" fontId="23" fillId="0" borderId="0" xfId="16" applyNumberFormat="1" applyFont="1"/>
    <xf numFmtId="6" fontId="29" fillId="2" borderId="0" xfId="0" applyNumberFormat="1" applyFont="1"/>
    <xf numFmtId="6" fontId="38" fillId="2" borderId="0" xfId="0" applyNumberFormat="1" applyFont="1"/>
    <xf numFmtId="41" fontId="29" fillId="2" borderId="0" xfId="0" applyNumberFormat="1" applyFont="1"/>
    <xf numFmtId="0" fontId="39" fillId="0" borderId="0" xfId="8" applyFont="1" applyAlignment="1">
      <alignment horizontal="center"/>
    </xf>
    <xf numFmtId="0" fontId="40" fillId="0" borderId="0" xfId="8" applyFont="1"/>
    <xf numFmtId="0" fontId="33" fillId="0" borderId="0" xfId="13" applyNumberFormat="1" applyFont="1" applyFill="1" applyAlignment="1">
      <alignment horizontal="center"/>
    </xf>
    <xf numFmtId="0" fontId="9" fillId="0" borderId="0" xfId="10" applyNumberFormat="1" applyFont="1" applyFill="1" applyAlignment="1">
      <alignment horizontal="center"/>
    </xf>
    <xf numFmtId="0" fontId="9" fillId="0" borderId="0" xfId="10" quotePrefix="1" applyNumberFormat="1" applyFont="1" applyFill="1" applyAlignment="1">
      <alignment horizontal="center"/>
    </xf>
    <xf numFmtId="0" fontId="9" fillId="0" borderId="0" xfId="9" quotePrefix="1" applyNumberFormat="1" applyFont="1" applyFill="1" applyAlignment="1">
      <alignment horizontal="center"/>
    </xf>
    <xf numFmtId="0" fontId="38" fillId="0" borderId="0" xfId="8" applyFont="1" applyAlignment="1">
      <alignment horizontal="center"/>
    </xf>
    <xf numFmtId="0" fontId="41" fillId="0" borderId="0" xfId="8" applyFont="1"/>
    <xf numFmtId="0" fontId="10" fillId="0" borderId="0" xfId="4" applyNumberFormat="1" applyFont="1" applyFill="1" applyBorder="1"/>
    <xf numFmtId="6" fontId="0" fillId="0" borderId="0" xfId="0" applyNumberFormat="1" applyFill="1" applyBorder="1"/>
    <xf numFmtId="0" fontId="10" fillId="0" borderId="0" xfId="4" applyNumberFormat="1" applyFont="1" applyFill="1" applyBorder="1" applyAlignment="1">
      <alignment horizontal="center"/>
    </xf>
    <xf numFmtId="0" fontId="21" fillId="0" borderId="0" xfId="13" applyNumberFormat="1" applyFont="1" applyFill="1"/>
    <xf numFmtId="37" fontId="19" fillId="0" borderId="0" xfId="0" applyNumberFormat="1" applyFont="1" applyFill="1" applyBorder="1"/>
    <xf numFmtId="0" fontId="33" fillId="0" borderId="4" xfId="13" applyNumberFormat="1" applyFont="1" applyFill="1" applyBorder="1" applyAlignment="1">
      <alignment horizontal="center"/>
    </xf>
    <xf numFmtId="5" fontId="33" fillId="0" borderId="0" xfId="13" applyNumberFormat="1" applyFont="1" applyFill="1"/>
    <xf numFmtId="6" fontId="9" fillId="0" borderId="0" xfId="10" applyNumberFormat="1" applyFont="1" applyFill="1"/>
    <xf numFmtId="0" fontId="10" fillId="0" borderId="0" xfId="9" applyNumberFormat="1" applyFont="1" applyFill="1"/>
    <xf numFmtId="167" fontId="7" fillId="0" borderId="0" xfId="9" applyNumberFormat="1" applyFill="1"/>
    <xf numFmtId="0" fontId="29" fillId="0" borderId="0" xfId="11" applyNumberFormat="1" applyFont="1" applyFill="1" applyBorder="1" applyAlignment="1">
      <alignment horizontal="center"/>
    </xf>
    <xf numFmtId="5" fontId="10" fillId="0" borderId="0" xfId="9" applyNumberFormat="1" applyFont="1" applyFill="1"/>
    <xf numFmtId="166" fontId="10" fillId="0" borderId="0" xfId="9" applyNumberFormat="1" applyFont="1" applyFill="1" applyAlignment="1">
      <alignment horizontal="center"/>
    </xf>
    <xf numFmtId="5" fontId="22" fillId="0" borderId="0" xfId="0" applyNumberFormat="1" applyFont="1" applyFill="1"/>
    <xf numFmtId="5" fontId="0" fillId="0" borderId="6" xfId="0" applyNumberFormat="1" applyFill="1" applyBorder="1" applyAlignment="1">
      <alignment horizontal="center"/>
    </xf>
    <xf numFmtId="166" fontId="0" fillId="0" borderId="0" xfId="0" applyNumberFormat="1" applyFill="1"/>
    <xf numFmtId="5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/>
    <xf numFmtId="38" fontId="9" fillId="0" borderId="0" xfId="0" applyNumberFormat="1" applyFont="1" applyFill="1"/>
    <xf numFmtId="38" fontId="7" fillId="0" borderId="0" xfId="9" applyNumberFormat="1" applyFill="1"/>
    <xf numFmtId="38" fontId="6" fillId="0" borderId="0" xfId="0" applyNumberFormat="1" applyFont="1" applyFill="1" applyAlignment="1">
      <alignment horizontal="right"/>
    </xf>
    <xf numFmtId="5" fontId="35" fillId="0" borderId="0" xfId="0" applyFont="1" applyFill="1" applyAlignment="1">
      <alignment horizontal="right"/>
    </xf>
    <xf numFmtId="6" fontId="15" fillId="0" borderId="29" xfId="13" applyNumberFormat="1" applyFont="1" applyFill="1" applyBorder="1"/>
    <xf numFmtId="37" fontId="0" fillId="0" borderId="1" xfId="0" quotePrefix="1" applyNumberFormat="1" applyFill="1" applyBorder="1"/>
    <xf numFmtId="37" fontId="21" fillId="0" borderId="0" xfId="13" applyNumberFormat="1" applyFont="1" applyFill="1" applyAlignment="1">
      <alignment horizontal="right"/>
    </xf>
    <xf numFmtId="5" fontId="15" fillId="0" borderId="6" xfId="13" applyNumberFormat="1" applyFont="1" applyFill="1" applyBorder="1" applyAlignment="1">
      <alignment horizontal="center"/>
    </xf>
    <xf numFmtId="5" fontId="30" fillId="0" borderId="0" xfId="0" applyNumberFormat="1" applyFont="1" applyFill="1"/>
    <xf numFmtId="171" fontId="9" fillId="0" borderId="0" xfId="9" applyNumberFormat="1" applyFont="1" applyFill="1" applyAlignment="1">
      <alignment horizontal="center"/>
    </xf>
    <xf numFmtId="171" fontId="7" fillId="0" borderId="0" xfId="9" applyNumberFormat="1" applyFill="1" applyAlignment="1">
      <alignment horizontal="center"/>
    </xf>
    <xf numFmtId="0" fontId="7" fillId="0" borderId="0" xfId="9" applyNumberFormat="1" applyFont="1" applyFill="1" applyAlignment="1">
      <alignment horizontal="center"/>
    </xf>
    <xf numFmtId="38" fontId="9" fillId="0" borderId="0" xfId="9" applyNumberFormat="1" applyFont="1" applyFill="1" applyAlignment="1">
      <alignment horizontal="center"/>
    </xf>
    <xf numFmtId="174" fontId="7" fillId="0" borderId="0" xfId="9" applyNumberFormat="1" applyFill="1" applyAlignment="1">
      <alignment horizontal="center"/>
    </xf>
    <xf numFmtId="8" fontId="10" fillId="0" borderId="0" xfId="9" applyNumberFormat="1" applyFont="1" applyFill="1" applyAlignment="1">
      <alignment horizontal="center"/>
    </xf>
    <xf numFmtId="5" fontId="7" fillId="0" borderId="0" xfId="9" applyNumberFormat="1" applyFont="1" applyFill="1"/>
    <xf numFmtId="171" fontId="7" fillId="0" borderId="0" xfId="16" applyNumberFormat="1" applyFont="1" applyFill="1" applyAlignment="1">
      <alignment horizontal="center"/>
    </xf>
    <xf numFmtId="8" fontId="7" fillId="0" borderId="0" xfId="9" applyNumberFormat="1" applyFill="1" applyAlignment="1">
      <alignment horizontal="center"/>
    </xf>
    <xf numFmtId="8" fontId="10" fillId="0" borderId="29" xfId="9" applyNumberFormat="1" applyFont="1" applyFill="1" applyBorder="1" applyAlignment="1">
      <alignment horizontal="center"/>
    </xf>
    <xf numFmtId="8" fontId="10" fillId="0" borderId="0" xfId="9" applyNumberFormat="1" applyFont="1" applyFill="1" applyBorder="1" applyAlignment="1">
      <alignment horizontal="center"/>
    </xf>
    <xf numFmtId="40" fontId="7" fillId="0" borderId="6" xfId="9" applyNumberFormat="1" applyFill="1" applyBorder="1" applyAlignment="1">
      <alignment horizontal="center"/>
    </xf>
    <xf numFmtId="40" fontId="7" fillId="0" borderId="0" xfId="9" applyNumberFormat="1" applyFill="1" applyAlignment="1">
      <alignment horizontal="center"/>
    </xf>
    <xf numFmtId="8" fontId="0" fillId="0" borderId="0" xfId="0" applyNumberFormat="1" applyFill="1"/>
    <xf numFmtId="40" fontId="10" fillId="0" borderId="0" xfId="9" applyNumberFormat="1" applyFont="1" applyFill="1" applyAlignment="1">
      <alignment horizontal="center"/>
    </xf>
    <xf numFmtId="0" fontId="19" fillId="0" borderId="7" xfId="4" applyNumberFormat="1" applyFont="1" applyFill="1" applyBorder="1"/>
    <xf numFmtId="0" fontId="10" fillId="0" borderId="8" xfId="4" applyNumberFormat="1" applyFont="1" applyFill="1" applyBorder="1"/>
    <xf numFmtId="0" fontId="10" fillId="0" borderId="9" xfId="4" applyNumberFormat="1" applyFont="1" applyFill="1" applyBorder="1" applyAlignment="1">
      <alignment horizontal="center"/>
    </xf>
    <xf numFmtId="0" fontId="19" fillId="0" borderId="10" xfId="4" applyNumberFormat="1" applyFont="1" applyFill="1" applyBorder="1"/>
    <xf numFmtId="0" fontId="10" fillId="0" borderId="14" xfId="4" applyNumberFormat="1" applyFont="1" applyFill="1" applyBorder="1" applyAlignment="1">
      <alignment horizontal="center"/>
    </xf>
    <xf numFmtId="0" fontId="22" fillId="0" borderId="10" xfId="4" applyNumberFormat="1" applyFont="1" applyFill="1" applyBorder="1"/>
    <xf numFmtId="0" fontId="10" fillId="0" borderId="10" xfId="4" applyNumberFormat="1" applyFont="1" applyFill="1" applyBorder="1"/>
    <xf numFmtId="0" fontId="9" fillId="0" borderId="10" xfId="4" applyNumberFormat="1" applyFont="1" applyFill="1" applyBorder="1"/>
    <xf numFmtId="0" fontId="10" fillId="0" borderId="20" xfId="4" applyNumberFormat="1" applyFont="1" applyFill="1" applyBorder="1"/>
    <xf numFmtId="0" fontId="10" fillId="0" borderId="21" xfId="4" applyNumberFormat="1" applyFont="1" applyFill="1" applyBorder="1"/>
    <xf numFmtId="0" fontId="10" fillId="0" borderId="22" xfId="4" applyNumberFormat="1" applyFont="1" applyFill="1" applyBorder="1" applyAlignment="1">
      <alignment horizontal="center"/>
    </xf>
    <xf numFmtId="38" fontId="29" fillId="2" borderId="0" xfId="0" quotePrefix="1" applyNumberFormat="1" applyFont="1" applyAlignment="1">
      <alignment horizontal="center"/>
    </xf>
    <xf numFmtId="38" fontId="29" fillId="2" borderId="0" xfId="0" applyNumberFormat="1" applyFont="1" applyAlignment="1">
      <alignment horizontal="center"/>
    </xf>
    <xf numFmtId="176" fontId="10" fillId="0" borderId="38" xfId="2" applyNumberFormat="1" applyFont="1" applyFill="1" applyBorder="1" applyAlignment="1">
      <alignment horizontal="right"/>
    </xf>
    <xf numFmtId="176" fontId="10" fillId="0" borderId="14" xfId="2" applyNumberFormat="1" applyFont="1" applyFill="1" applyBorder="1" applyAlignment="1">
      <alignment horizontal="right"/>
    </xf>
    <xf numFmtId="0" fontId="0" fillId="0" borderId="0" xfId="5" applyNumberFormat="1" applyFont="1" applyFill="1" applyAlignment="1">
      <alignment horizontal="left"/>
    </xf>
    <xf numFmtId="6" fontId="38" fillId="0" borderId="0" xfId="0" applyNumberFormat="1" applyFont="1" applyFill="1"/>
    <xf numFmtId="5" fontId="7" fillId="0" borderId="0" xfId="0" applyNumberFormat="1" applyFont="1" applyFill="1"/>
    <xf numFmtId="37" fontId="9" fillId="0" borderId="0" xfId="15" applyNumberFormat="1" applyFont="1" applyFill="1"/>
    <xf numFmtId="0" fontId="9" fillId="0" borderId="0" xfId="15" applyNumberFormat="1" applyFont="1" applyFill="1"/>
    <xf numFmtId="5" fontId="9" fillId="0" borderId="0" xfId="15" applyNumberFormat="1" applyFont="1" applyFill="1"/>
    <xf numFmtId="0" fontId="9" fillId="0" borderId="0" xfId="15" applyNumberFormat="1" applyFont="1" applyFill="1" applyAlignment="1">
      <alignment horizontal="center"/>
    </xf>
    <xf numFmtId="0" fontId="35" fillId="0" borderId="0" xfId="15" applyNumberFormat="1" applyFont="1" applyFill="1"/>
    <xf numFmtId="0" fontId="7" fillId="0" borderId="0" xfId="15" applyNumberFormat="1" applyFont="1" applyFill="1"/>
    <xf numFmtId="0" fontId="15" fillId="0" borderId="0" xfId="15" applyNumberFormat="1" applyFont="1" applyFill="1"/>
    <xf numFmtId="37" fontId="9" fillId="0" borderId="0" xfId="18" applyNumberFormat="1" applyFont="1" applyFill="1"/>
    <xf numFmtId="0" fontId="28" fillId="0" borderId="0" xfId="18" applyNumberFormat="1" applyFont="1" applyFill="1" applyAlignment="1">
      <alignment horizontal="right"/>
    </xf>
    <xf numFmtId="0" fontId="61" fillId="0" borderId="0" xfId="18" applyNumberFormat="1" applyFont="1" applyFill="1" applyAlignment="1">
      <alignment horizontal="right"/>
    </xf>
    <xf numFmtId="39" fontId="29" fillId="0" borderId="0" xfId="18" applyNumberFormat="1" applyFont="1" applyFill="1" applyAlignment="1">
      <alignment horizontal="left"/>
    </xf>
    <xf numFmtId="0" fontId="6" fillId="0" borderId="0" xfId="18" applyNumberFormat="1" applyFont="1" applyFill="1"/>
    <xf numFmtId="37" fontId="6" fillId="0" borderId="0" xfId="18" applyNumberFormat="1" applyFont="1" applyFill="1"/>
    <xf numFmtId="0" fontId="4" fillId="0" borderId="0" xfId="17" applyFill="1"/>
    <xf numFmtId="37" fontId="6" fillId="0" borderId="2" xfId="0" applyNumberFormat="1" applyFont="1" applyFill="1" applyBorder="1" applyAlignment="1">
      <alignment horizontal="center"/>
    </xf>
    <xf numFmtId="37" fontId="7" fillId="0" borderId="1" xfId="0" applyNumberFormat="1" applyFont="1" applyFill="1" applyBorder="1"/>
    <xf numFmtId="37" fontId="7" fillId="0" borderId="3" xfId="0" applyNumberFormat="1" applyFont="1" applyFill="1" applyBorder="1"/>
    <xf numFmtId="0" fontId="15" fillId="0" borderId="0" xfId="124" applyNumberFormat="1" applyFont="1" applyFill="1"/>
    <xf numFmtId="37" fontId="9" fillId="0" borderId="0" xfId="124" applyNumberFormat="1" applyFont="1" applyFill="1" applyAlignment="1">
      <alignment horizontal="left"/>
    </xf>
    <xf numFmtId="0" fontId="9" fillId="0" borderId="0" xfId="124" applyNumberFormat="1" applyFont="1" applyFill="1" applyAlignment="1">
      <alignment horizontal="left"/>
    </xf>
    <xf numFmtId="0" fontId="33" fillId="0" borderId="0" xfId="124" applyNumberFormat="1" applyFont="1" applyFill="1"/>
    <xf numFmtId="5" fontId="9" fillId="0" borderId="0" xfId="124" applyNumberFormat="1" applyFont="1" applyFill="1" applyAlignment="1">
      <alignment horizontal="left"/>
    </xf>
    <xf numFmtId="0" fontId="15" fillId="0" borderId="0" xfId="124" applyNumberFormat="1" applyFont="1" applyFill="1" applyAlignment="1">
      <alignment horizontal="center"/>
    </xf>
    <xf numFmtId="0" fontId="27" fillId="0" borderId="0" xfId="124" applyNumberFormat="1" applyFont="1" applyFill="1"/>
    <xf numFmtId="5" fontId="3" fillId="0" borderId="0" xfId="125" applyNumberFormat="1" applyFill="1"/>
    <xf numFmtId="0" fontId="6" fillId="0" borderId="0" xfId="124" applyNumberFormat="1" applyFont="1" applyFill="1" applyAlignment="1">
      <alignment horizontal="center"/>
    </xf>
    <xf numFmtId="0" fontId="42" fillId="0" borderId="0" xfId="124" applyNumberFormat="1" applyFont="1" applyFill="1"/>
    <xf numFmtId="1" fontId="15" fillId="0" borderId="32" xfId="124" applyNumberFormat="1" applyFont="1" applyFill="1" applyBorder="1" applyAlignment="1">
      <alignment horizontal="center"/>
    </xf>
    <xf numFmtId="7" fontId="15" fillId="0" borderId="0" xfId="124" applyNumberFormat="1" applyFont="1" applyFill="1"/>
    <xf numFmtId="1" fontId="15" fillId="0" borderId="0" xfId="124" applyNumberFormat="1" applyFont="1" applyFill="1"/>
    <xf numFmtId="5" fontId="3" fillId="0" borderId="0" xfId="125" applyNumberFormat="1" applyFont="1" applyFill="1"/>
    <xf numFmtId="38" fontId="15" fillId="0" borderId="0" xfId="124" applyNumberFormat="1" applyFont="1" applyFill="1"/>
    <xf numFmtId="6" fontId="15" fillId="0" borderId="0" xfId="124" applyNumberFormat="1" applyFont="1" applyFill="1"/>
    <xf numFmtId="0" fontId="15" fillId="0" borderId="0" xfId="124" applyNumberFormat="1" applyFont="1" applyFill="1" applyAlignment="1">
      <alignment horizontal="right"/>
    </xf>
    <xf numFmtId="6" fontId="33" fillId="0" borderId="36" xfId="124" applyNumberFormat="1" applyFont="1" applyFill="1" applyBorder="1"/>
    <xf numFmtId="37" fontId="15" fillId="0" borderId="0" xfId="124" applyNumberFormat="1" applyFont="1" applyFill="1"/>
    <xf numFmtId="0" fontId="15" fillId="0" borderId="0" xfId="124" applyNumberFormat="1" applyFont="1" applyFill="1" applyAlignment="1"/>
    <xf numFmtId="10" fontId="15" fillId="0" borderId="0" xfId="124" applyNumberFormat="1" applyFont="1" applyFill="1"/>
    <xf numFmtId="0" fontId="15" fillId="0" borderId="0" xfId="124" applyNumberFormat="1" applyFont="1" applyFill="1" applyAlignment="1">
      <alignment horizontal="left" indent="12"/>
    </xf>
    <xf numFmtId="5" fontId="66" fillId="0" borderId="0" xfId="125" applyNumberFormat="1" applyFont="1" applyFill="1"/>
    <xf numFmtId="7" fontId="60" fillId="0" borderId="0" xfId="124" applyNumberFormat="1" applyFont="1" applyFill="1"/>
    <xf numFmtId="0" fontId="7" fillId="0" borderId="0" xfId="124" applyNumberFormat="1" applyFont="1" applyFill="1" applyAlignment="1">
      <alignment horizontal="right"/>
    </xf>
    <xf numFmtId="6" fontId="33" fillId="0" borderId="30" xfId="124" applyNumberFormat="1" applyFont="1" applyFill="1" applyBorder="1"/>
    <xf numFmtId="0" fontId="43" fillId="0" borderId="0" xfId="124" applyNumberFormat="1" applyFont="1" applyFill="1"/>
    <xf numFmtId="0" fontId="15" fillId="0" borderId="0" xfId="124" applyNumberFormat="1" applyFont="1" applyFill="1" applyAlignment="1">
      <alignment horizontal="left"/>
    </xf>
    <xf numFmtId="5" fontId="15" fillId="0" borderId="0" xfId="124" applyNumberFormat="1" applyFont="1" applyFill="1"/>
    <xf numFmtId="168" fontId="15" fillId="0" borderId="0" xfId="124" applyNumberFormat="1" applyFont="1" applyFill="1"/>
    <xf numFmtId="0" fontId="21" fillId="0" borderId="0" xfId="124" applyNumberFormat="1" applyFont="1" applyFill="1" applyAlignment="1">
      <alignment horizontal="center"/>
    </xf>
    <xf numFmtId="6" fontId="15" fillId="0" borderId="30" xfId="124" applyNumberFormat="1" applyFont="1" applyFill="1" applyBorder="1"/>
    <xf numFmtId="6" fontId="15" fillId="0" borderId="29" xfId="124" applyNumberFormat="1" applyFont="1" applyFill="1" applyBorder="1"/>
    <xf numFmtId="6" fontId="15" fillId="0" borderId="0" xfId="124" applyNumberFormat="1" applyFont="1" applyFill="1" applyBorder="1"/>
    <xf numFmtId="6" fontId="15" fillId="0" borderId="6" xfId="124" applyNumberFormat="1" applyFont="1" applyFill="1" applyBorder="1"/>
    <xf numFmtId="0" fontId="33" fillId="0" borderId="11" xfId="124" applyNumberFormat="1" applyFont="1" applyFill="1" applyBorder="1"/>
    <xf numFmtId="0" fontId="15" fillId="0" borderId="12" xfId="124" applyNumberFormat="1" applyFont="1" applyFill="1" applyBorder="1"/>
    <xf numFmtId="0" fontId="15" fillId="0" borderId="12" xfId="124" applyNumberFormat="1" applyFont="1" applyFill="1" applyBorder="1" applyAlignment="1">
      <alignment horizontal="center"/>
    </xf>
    <xf numFmtId="0" fontId="30" fillId="0" borderId="0" xfId="124" applyNumberFormat="1" applyFont="1" applyFill="1" applyAlignment="1">
      <alignment horizontal="left"/>
    </xf>
    <xf numFmtId="0" fontId="30" fillId="0" borderId="0" xfId="124" applyNumberFormat="1" applyFont="1" applyFill="1"/>
    <xf numFmtId="0" fontId="30" fillId="0" borderId="15" xfId="124" applyNumberFormat="1" applyFont="1" applyFill="1" applyBorder="1"/>
    <xf numFmtId="0" fontId="30" fillId="0" borderId="0" xfId="124" applyNumberFormat="1" applyFont="1" applyFill="1" applyBorder="1"/>
    <xf numFmtId="0" fontId="15" fillId="0" borderId="59" xfId="13" applyNumberFormat="1" applyFont="1" applyFill="1" applyBorder="1" applyAlignment="1">
      <alignment horizontal="center"/>
    </xf>
    <xf numFmtId="0" fontId="15" fillId="0" borderId="16" xfId="124" applyNumberFormat="1" applyFont="1" applyFill="1" applyBorder="1" applyAlignment="1">
      <alignment horizontal="center"/>
    </xf>
    <xf numFmtId="6" fontId="30" fillId="0" borderId="0" xfId="124" applyNumberFormat="1" applyFont="1" applyFill="1"/>
    <xf numFmtId="10" fontId="30" fillId="0" borderId="0" xfId="124" applyNumberFormat="1" applyFont="1" applyFill="1" applyBorder="1"/>
    <xf numFmtId="0" fontId="15" fillId="0" borderId="60" xfId="13" applyNumberFormat="1" applyFont="1" applyFill="1" applyBorder="1" applyAlignment="1">
      <alignment horizontal="center"/>
    </xf>
    <xf numFmtId="0" fontId="15" fillId="0" borderId="33" xfId="124" applyNumberFormat="1" applyFont="1" applyFill="1" applyBorder="1" applyAlignment="1">
      <alignment horizontal="center"/>
    </xf>
    <xf numFmtId="0" fontId="30" fillId="0" borderId="17" xfId="124" applyNumberFormat="1" applyFont="1" applyFill="1" applyBorder="1"/>
    <xf numFmtId="10" fontId="30" fillId="0" borderId="6" xfId="124" applyNumberFormat="1" applyFont="1" applyFill="1" applyBorder="1"/>
    <xf numFmtId="6" fontId="15" fillId="0" borderId="61" xfId="124" applyNumberFormat="1" applyFont="1" applyFill="1" applyBorder="1"/>
    <xf numFmtId="6" fontId="15" fillId="0" borderId="18" xfId="124" applyNumberFormat="1" applyFont="1" applyFill="1" applyBorder="1"/>
    <xf numFmtId="10" fontId="30" fillId="0" borderId="0" xfId="124" applyNumberFormat="1" applyFont="1" applyFill="1"/>
    <xf numFmtId="0" fontId="15" fillId="0" borderId="0" xfId="124" applyNumberFormat="1" applyFont="1" applyFill="1" applyBorder="1" applyAlignment="1">
      <alignment horizontal="center"/>
    </xf>
    <xf numFmtId="5" fontId="6" fillId="0" borderId="0" xfId="125" applyNumberFormat="1" applyFont="1" applyFill="1" applyBorder="1" applyAlignment="1" applyProtection="1">
      <protection locked="0"/>
    </xf>
    <xf numFmtId="5" fontId="26" fillId="0" borderId="0" xfId="125" applyNumberFormat="1" applyFont="1" applyFill="1" applyBorder="1" applyAlignment="1" applyProtection="1">
      <alignment horizontal="right"/>
      <protection locked="0"/>
    </xf>
    <xf numFmtId="5" fontId="37" fillId="0" borderId="0" xfId="125" applyNumberFormat="1" applyFont="1" applyFill="1" applyBorder="1" applyAlignment="1" applyProtection="1">
      <alignment horizontal="right"/>
      <protection locked="0"/>
    </xf>
    <xf numFmtId="5" fontId="29" fillId="0" borderId="0" xfId="125" applyNumberFormat="1" applyFont="1" applyFill="1" applyBorder="1" applyAlignment="1" applyProtection="1">
      <protection locked="0"/>
    </xf>
    <xf numFmtId="0" fontId="6" fillId="0" borderId="0" xfId="125" applyNumberFormat="1" applyFont="1" applyFill="1" applyBorder="1" applyAlignment="1" applyProtection="1">
      <protection locked="0"/>
    </xf>
    <xf numFmtId="164" fontId="29" fillId="0" borderId="0" xfId="125" applyNumberFormat="1" applyFont="1" applyFill="1" applyBorder="1" applyAlignment="1" applyProtection="1">
      <protection locked="0"/>
    </xf>
    <xf numFmtId="0" fontId="29" fillId="0" borderId="0" xfId="125" applyNumberFormat="1" applyFont="1" applyFill="1" applyBorder="1" applyAlignment="1" applyProtection="1">
      <protection locked="0"/>
    </xf>
    <xf numFmtId="6" fontId="37" fillId="0" borderId="0" xfId="125" applyNumberFormat="1" applyFont="1" applyFill="1" applyBorder="1" applyAlignment="1" applyProtection="1">
      <protection locked="0"/>
    </xf>
    <xf numFmtId="0" fontId="15" fillId="0" borderId="0" xfId="13" applyNumberFormat="1" applyFont="1" applyFill="1" applyAlignment="1">
      <alignment horizontal="center"/>
    </xf>
    <xf numFmtId="0" fontId="12" fillId="0" borderId="62" xfId="6" applyNumberFormat="1" applyFont="1" applyFill="1" applyBorder="1"/>
    <xf numFmtId="0" fontId="12" fillId="0" borderId="63" xfId="6" applyNumberFormat="1" applyFont="1" applyFill="1" applyBorder="1"/>
    <xf numFmtId="0" fontId="12" fillId="0" borderId="64" xfId="6" applyNumberFormat="1" applyFont="1" applyFill="1" applyBorder="1"/>
    <xf numFmtId="0" fontId="16" fillId="0" borderId="65" xfId="6" applyNumberFormat="1" applyFont="1" applyFill="1" applyBorder="1" applyAlignment="1">
      <alignment horizontal="left"/>
    </xf>
    <xf numFmtId="0" fontId="16" fillId="0" borderId="0" xfId="6" applyNumberFormat="1" applyFont="1" applyFill="1" applyBorder="1"/>
    <xf numFmtId="0" fontId="16" fillId="0" borderId="0" xfId="6" applyNumberFormat="1" applyFont="1" applyFill="1" applyBorder="1" applyAlignment="1">
      <alignment horizontal="center"/>
    </xf>
    <xf numFmtId="0" fontId="16" fillId="0" borderId="66" xfId="6" applyNumberFormat="1" applyFont="1" applyFill="1" applyBorder="1" applyAlignment="1">
      <alignment horizontal="center"/>
    </xf>
    <xf numFmtId="0" fontId="12" fillId="0" borderId="65" xfId="6" applyNumberFormat="1" applyFont="1" applyFill="1" applyBorder="1"/>
    <xf numFmtId="0" fontId="12" fillId="0" borderId="0" xfId="6" applyNumberFormat="1" applyFont="1" applyFill="1" applyBorder="1"/>
    <xf numFmtId="0" fontId="12" fillId="0" borderId="66" xfId="6" applyNumberFormat="1" applyFont="1" applyFill="1" applyBorder="1" applyAlignment="1">
      <alignment horizontal="center"/>
    </xf>
    <xf numFmtId="0" fontId="60" fillId="0" borderId="65" xfId="6" applyNumberFormat="1" applyFont="1" applyFill="1" applyBorder="1"/>
    <xf numFmtId="0" fontId="60" fillId="0" borderId="0" xfId="6" applyNumberFormat="1" applyFont="1" applyFill="1" applyBorder="1"/>
    <xf numFmtId="0" fontId="60" fillId="0" borderId="0" xfId="6" applyNumberFormat="1" applyFont="1" applyFill="1" applyBorder="1" applyAlignment="1">
      <alignment horizontal="center"/>
    </xf>
    <xf numFmtId="0" fontId="60" fillId="0" borderId="66" xfId="6" applyNumberFormat="1" applyFont="1" applyFill="1" applyBorder="1" applyAlignment="1">
      <alignment horizontal="center"/>
    </xf>
    <xf numFmtId="0" fontId="7" fillId="0" borderId="65" xfId="6" applyNumberFormat="1" applyFill="1" applyBorder="1"/>
    <xf numFmtId="0" fontId="7" fillId="0" borderId="0" xfId="6" applyNumberFormat="1" applyFill="1" applyBorder="1"/>
    <xf numFmtId="0" fontId="7" fillId="0" borderId="66" xfId="6" applyNumberFormat="1" applyFill="1" applyBorder="1"/>
    <xf numFmtId="0" fontId="69" fillId="0" borderId="65" xfId="6" applyNumberFormat="1" applyFont="1" applyFill="1" applyBorder="1"/>
    <xf numFmtId="0" fontId="15" fillId="0" borderId="65" xfId="6" applyNumberFormat="1" applyFont="1" applyFill="1" applyBorder="1"/>
    <xf numFmtId="0" fontId="15" fillId="0" borderId="0" xfId="6" applyNumberFormat="1" applyFont="1" applyFill="1" applyBorder="1"/>
    <xf numFmtId="0" fontId="15" fillId="0" borderId="66" xfId="6" applyNumberFormat="1" applyFont="1" applyFill="1" applyBorder="1"/>
    <xf numFmtId="0" fontId="60" fillId="0" borderId="67" xfId="6" applyNumberFormat="1" applyFont="1" applyFill="1" applyBorder="1"/>
    <xf numFmtId="0" fontId="60" fillId="0" borderId="68" xfId="6" applyNumberFormat="1" applyFont="1" applyFill="1" applyBorder="1"/>
    <xf numFmtId="0" fontId="60" fillId="0" borderId="68" xfId="6" applyNumberFormat="1" applyFont="1" applyFill="1" applyBorder="1" applyAlignment="1">
      <alignment horizontal="center"/>
    </xf>
    <xf numFmtId="0" fontId="60" fillId="0" borderId="69" xfId="6" applyNumberFormat="1" applyFont="1" applyFill="1" applyBorder="1" applyAlignment="1">
      <alignment horizontal="center"/>
    </xf>
    <xf numFmtId="0" fontId="60" fillId="0" borderId="0" xfId="6" applyNumberFormat="1" applyFont="1" applyFill="1"/>
    <xf numFmtId="0" fontId="60" fillId="0" borderId="0" xfId="6" applyNumberFormat="1" applyFont="1" applyFill="1" applyAlignment="1">
      <alignment horizontal="center"/>
    </xf>
    <xf numFmtId="0" fontId="15" fillId="0" borderId="0" xfId="6" applyNumberFormat="1" applyFont="1" applyFill="1" applyAlignment="1">
      <alignment horizontal="center"/>
    </xf>
    <xf numFmtId="0" fontId="15" fillId="0" borderId="0" xfId="6" applyNumberFormat="1" applyFont="1" applyFill="1"/>
    <xf numFmtId="10" fontId="9" fillId="0" borderId="27" xfId="4" applyNumberFormat="1" applyFont="1" applyFill="1" applyBorder="1"/>
    <xf numFmtId="0" fontId="29" fillId="0" borderId="0" xfId="4" applyNumberFormat="1" applyFont="1" applyFill="1" applyBorder="1" applyAlignment="1">
      <alignment horizontal="center"/>
    </xf>
    <xf numFmtId="37" fontId="9" fillId="0" borderId="0" xfId="13" applyNumberFormat="1" applyFont="1" applyFill="1"/>
    <xf numFmtId="0" fontId="9" fillId="0" borderId="0" xfId="13" applyNumberFormat="1" applyFont="1" applyFill="1"/>
    <xf numFmtId="0" fontId="70" fillId="0" borderId="0" xfId="12" applyNumberFormat="1" applyFont="1" applyFill="1"/>
    <xf numFmtId="5" fontId="15" fillId="0" borderId="0" xfId="13" applyNumberFormat="1" applyFont="1" applyFill="1"/>
    <xf numFmtId="0" fontId="15" fillId="0" borderId="0" xfId="13" applyNumberFormat="1" applyFont="1" applyFill="1" applyAlignment="1">
      <alignment horizontal="right"/>
    </xf>
    <xf numFmtId="5" fontId="24" fillId="0" borderId="0" xfId="0" applyNumberFormat="1" applyFont="1" applyFill="1"/>
    <xf numFmtId="5" fontId="7" fillId="0" borderId="0" xfId="0" applyNumberFormat="1" applyFont="1" applyFill="1" applyBorder="1"/>
    <xf numFmtId="5" fontId="15" fillId="0" borderId="0" xfId="0" applyNumberFormat="1" applyFont="1" applyFill="1"/>
    <xf numFmtId="0" fontId="24" fillId="0" borderId="0" xfId="13" applyNumberFormat="1" applyFont="1" applyFill="1" applyAlignment="1">
      <alignment horizontal="center"/>
    </xf>
    <xf numFmtId="0" fontId="7" fillId="0" borderId="4" xfId="13" applyNumberFormat="1" applyFont="1" applyFill="1" applyBorder="1" applyAlignment="1">
      <alignment horizontal="center"/>
    </xf>
    <xf numFmtId="0" fontId="24" fillId="0" borderId="4" xfId="13" quotePrefix="1" applyNumberFormat="1" applyFont="1" applyFill="1" applyBorder="1" applyAlignment="1">
      <alignment horizontal="center"/>
    </xf>
    <xf numFmtId="0" fontId="24" fillId="0" borderId="4" xfId="13" applyNumberFormat="1" applyFont="1" applyFill="1" applyBorder="1" applyAlignment="1">
      <alignment horizontal="center"/>
    </xf>
    <xf numFmtId="0" fontId="9" fillId="0" borderId="4" xfId="13" applyNumberFormat="1" applyFont="1" applyFill="1" applyBorder="1" applyAlignment="1">
      <alignment horizontal="center"/>
    </xf>
    <xf numFmtId="37" fontId="9" fillId="0" borderId="0" xfId="14" applyNumberFormat="1" applyFont="1" applyFill="1" applyBorder="1" applyAlignment="1">
      <alignment horizontal="right"/>
    </xf>
    <xf numFmtId="9" fontId="0" fillId="0" borderId="0" xfId="16" applyFont="1" applyFill="1"/>
    <xf numFmtId="6" fontId="38" fillId="35" borderId="0" xfId="0" applyNumberFormat="1" applyFont="1" applyFill="1"/>
    <xf numFmtId="6" fontId="29" fillId="35" borderId="0" xfId="0" applyNumberFormat="1" applyFont="1" applyFill="1"/>
    <xf numFmtId="37" fontId="9" fillId="0" borderId="0" xfId="9" applyNumberFormat="1" applyFont="1" applyFill="1" applyAlignment="1">
      <alignment horizontal="center"/>
    </xf>
    <xf numFmtId="0" fontId="9" fillId="0" borderId="0" xfId="9" applyNumberFormat="1" applyFont="1" applyFill="1" applyAlignment="1">
      <alignment horizontal="center"/>
    </xf>
    <xf numFmtId="0" fontId="9" fillId="0" borderId="0" xfId="11" applyNumberFormat="1" applyFont="1" applyFill="1" applyBorder="1" applyAlignment="1">
      <alignment horizontal="center"/>
    </xf>
    <xf numFmtId="38" fontId="7" fillId="0" borderId="0" xfId="0" applyNumberFormat="1" applyFont="1" applyFill="1" applyAlignment="1">
      <alignment horizontal="center"/>
    </xf>
    <xf numFmtId="5" fontId="7" fillId="0" borderId="0" xfId="0" applyNumberFormat="1" applyFont="1" applyFill="1" applyAlignment="1">
      <alignment horizontal="center"/>
    </xf>
    <xf numFmtId="38" fontId="9" fillId="0" borderId="0" xfId="0" applyNumberFormat="1" applyFont="1" applyFill="1" applyAlignment="1">
      <alignment horizontal="center"/>
    </xf>
    <xf numFmtId="8" fontId="9" fillId="0" borderId="0" xfId="0" applyNumberFormat="1" applyFont="1" applyFill="1"/>
    <xf numFmtId="38" fontId="0" fillId="0" borderId="3" xfId="1" applyNumberFormat="1" applyFont="1" applyFill="1" applyBorder="1"/>
    <xf numFmtId="6" fontId="0" fillId="0" borderId="37" xfId="2" applyNumberFormat="1" applyFont="1" applyFill="1" applyBorder="1"/>
    <xf numFmtId="6" fontId="0" fillId="0" borderId="3" xfId="2" applyNumberFormat="1" applyFont="1" applyFill="1" applyBorder="1"/>
    <xf numFmtId="6" fontId="0" fillId="0" borderId="0" xfId="2" applyNumberFormat="1" applyFont="1" applyFill="1"/>
    <xf numFmtId="6" fontId="0" fillId="0" borderId="2" xfId="2" applyNumberFormat="1" applyFont="1" applyFill="1" applyBorder="1"/>
    <xf numFmtId="6" fontId="0" fillId="0" borderId="3" xfId="1" applyNumberFormat="1" applyFont="1" applyFill="1" applyBorder="1"/>
    <xf numFmtId="6" fontId="0" fillId="0" borderId="35" xfId="2" applyNumberFormat="1" applyFont="1" applyFill="1" applyBorder="1"/>
    <xf numFmtId="6" fontId="73" fillId="0" borderId="3" xfId="2" applyNumberFormat="1" applyFont="1" applyFill="1" applyBorder="1"/>
    <xf numFmtId="6" fontId="0" fillId="0" borderId="0" xfId="0" applyNumberFormat="1" applyFill="1"/>
    <xf numFmtId="38" fontId="0" fillId="0" borderId="24" xfId="1" applyNumberFormat="1" applyFont="1" applyFill="1" applyBorder="1"/>
    <xf numFmtId="38" fontId="0" fillId="0" borderId="0" xfId="2" applyNumberFormat="1" applyFont="1" applyFill="1"/>
    <xf numFmtId="3" fontId="12" fillId="0" borderId="0" xfId="4" applyNumberFormat="1" applyFont="1" applyFill="1"/>
    <xf numFmtId="3" fontId="12" fillId="0" borderId="0" xfId="4" applyNumberFormat="1" applyFont="1" applyFill="1" applyBorder="1"/>
    <xf numFmtId="3" fontId="10" fillId="0" borderId="0" xfId="4" applyNumberFormat="1" applyFont="1" applyFill="1"/>
    <xf numFmtId="3" fontId="14" fillId="0" borderId="0" xfId="4" applyNumberFormat="1" applyFont="1" applyFill="1"/>
    <xf numFmtId="6" fontId="12" fillId="0" borderId="0" xfId="2" applyNumberFormat="1" applyFont="1" applyFill="1"/>
    <xf numFmtId="6" fontId="10" fillId="0" borderId="0" xfId="2" applyNumberFormat="1" applyFont="1" applyFill="1"/>
    <xf numFmtId="6" fontId="12" fillId="0" borderId="25" xfId="2" applyNumberFormat="1" applyFont="1" applyFill="1" applyBorder="1"/>
    <xf numFmtId="6" fontId="12" fillId="0" borderId="30" xfId="2" applyNumberFormat="1" applyFont="1" applyFill="1" applyBorder="1"/>
    <xf numFmtId="6" fontId="12" fillId="0" borderId="0" xfId="1" applyNumberFormat="1" applyFont="1" applyFill="1"/>
    <xf numFmtId="38" fontId="10" fillId="0" borderId="0" xfId="1" applyNumberFormat="1" applyFont="1" applyFill="1"/>
    <xf numFmtId="38" fontId="10" fillId="0" borderId="0" xfId="9" applyNumberFormat="1" applyFont="1" applyFill="1" applyAlignment="1">
      <alignment horizontal="center"/>
    </xf>
    <xf numFmtId="38" fontId="7" fillId="0" borderId="0" xfId="9" applyNumberFormat="1" applyFill="1" applyAlignment="1">
      <alignment horizontal="center"/>
    </xf>
    <xf numFmtId="38" fontId="9" fillId="0" borderId="0" xfId="9" applyNumberFormat="1" applyFont="1" applyFill="1" applyBorder="1" applyAlignment="1">
      <alignment horizontal="center"/>
    </xf>
    <xf numFmtId="37" fontId="9" fillId="0" borderId="0" xfId="9" applyNumberFormat="1" applyFont="1" applyFill="1" applyAlignment="1"/>
    <xf numFmtId="0" fontId="9" fillId="0" borderId="0" xfId="9" applyNumberFormat="1" applyFont="1" applyFill="1" applyAlignment="1"/>
    <xf numFmtId="0" fontId="10" fillId="0" borderId="0" xfId="9" applyNumberFormat="1" applyFont="1" applyFill="1" applyAlignment="1"/>
    <xf numFmtId="0" fontId="16" fillId="0" borderId="0" xfId="6" applyNumberFormat="1" applyFont="1" applyFill="1" applyAlignment="1">
      <alignment horizontal="center"/>
    </xf>
    <xf numFmtId="5" fontId="9" fillId="0" borderId="0" xfId="0" applyNumberFormat="1" applyFont="1" applyFill="1" applyAlignment="1">
      <alignment horizontal="center"/>
    </xf>
    <xf numFmtId="0" fontId="12" fillId="0" borderId="0" xfId="4" applyNumberFormat="1" applyFont="1" applyFill="1" applyAlignment="1">
      <alignment horizontal="center"/>
    </xf>
    <xf numFmtId="0" fontId="10" fillId="0" borderId="0" xfId="9" applyNumberFormat="1" applyFont="1" applyFill="1" applyAlignment="1">
      <alignment horizontal="center"/>
    </xf>
    <xf numFmtId="0" fontId="7" fillId="0" borderId="0" xfId="13" applyNumberFormat="1" applyFont="1" applyFill="1" applyAlignment="1">
      <alignment horizontal="center"/>
    </xf>
    <xf numFmtId="0" fontId="9" fillId="0" borderId="0" xfId="13" applyNumberFormat="1" applyFont="1" applyFill="1" applyAlignment="1">
      <alignment horizontal="center"/>
    </xf>
    <xf numFmtId="5" fontId="9" fillId="0" borderId="0" xfId="13" applyNumberFormat="1" applyFont="1" applyFill="1" applyAlignment="1">
      <alignment horizontal="center"/>
    </xf>
    <xf numFmtId="37" fontId="9" fillId="0" borderId="0" xfId="14" quotePrefix="1" applyNumberFormat="1" applyFont="1" applyFill="1" applyBorder="1" applyAlignment="1">
      <alignment horizontal="left"/>
    </xf>
    <xf numFmtId="37" fontId="7" fillId="0" borderId="16" xfId="14" applyNumberFormat="1" applyFont="1" applyFill="1" applyBorder="1"/>
    <xf numFmtId="1" fontId="15" fillId="0" borderId="0" xfId="13" applyNumberFormat="1" applyFont="1" applyFill="1" applyAlignment="1">
      <alignment horizontal="center"/>
    </xf>
    <xf numFmtId="1" fontId="33" fillId="0" borderId="0" xfId="13" applyNumberFormat="1" applyFont="1" applyFill="1" applyAlignment="1">
      <alignment horizontal="center"/>
    </xf>
    <xf numFmtId="0" fontId="0" fillId="2" borderId="0" xfId="0" applyNumberFormat="1"/>
    <xf numFmtId="0" fontId="70" fillId="0" borderId="0" xfId="12" applyNumberFormat="1" applyFont="1" applyFill="1" applyAlignment="1">
      <alignment horizontal="center"/>
    </xf>
    <xf numFmtId="1" fontId="7" fillId="0" borderId="0" xfId="13" applyNumberFormat="1" applyFont="1" applyFill="1" applyAlignment="1">
      <alignment horizontal="center"/>
    </xf>
    <xf numFmtId="1" fontId="9" fillId="0" borderId="0" xfId="13" applyNumberFormat="1" applyFont="1" applyFill="1" applyAlignment="1">
      <alignment horizontal="center"/>
    </xf>
    <xf numFmtId="1" fontId="15" fillId="0" borderId="58" xfId="124" applyNumberFormat="1" applyFont="1" applyFill="1" applyBorder="1" applyAlignment="1">
      <alignment horizontal="center"/>
    </xf>
    <xf numFmtId="1" fontId="15" fillId="0" borderId="13" xfId="124" applyNumberFormat="1" applyFont="1" applyFill="1" applyBorder="1" applyAlignment="1">
      <alignment horizontal="center"/>
    </xf>
    <xf numFmtId="38" fontId="7" fillId="0" borderId="0" xfId="9" applyNumberFormat="1" applyFont="1" applyFill="1" applyAlignment="1">
      <alignment horizontal="center"/>
    </xf>
    <xf numFmtId="38" fontId="7" fillId="0" borderId="0" xfId="9" applyNumberFormat="1" applyFont="1" applyFill="1" applyBorder="1" applyAlignment="1">
      <alignment horizontal="center"/>
    </xf>
    <xf numFmtId="171" fontId="7" fillId="0" borderId="0" xfId="9" applyNumberFormat="1" applyFont="1" applyFill="1" applyAlignment="1">
      <alignment horizontal="center"/>
    </xf>
    <xf numFmtId="1" fontId="7" fillId="0" borderId="0" xfId="9" applyNumberFormat="1" applyFill="1" applyAlignment="1">
      <alignment horizontal="center"/>
    </xf>
    <xf numFmtId="8" fontId="7" fillId="0" borderId="0" xfId="0" applyNumberFormat="1" applyFont="1" applyFill="1"/>
    <xf numFmtId="0" fontId="15" fillId="0" borderId="0" xfId="18" applyNumberFormat="1" applyFill="1"/>
    <xf numFmtId="1" fontId="5" fillId="0" borderId="0" xfId="18" applyNumberFormat="1" applyFont="1" applyFill="1" applyAlignment="1">
      <alignment horizontal="center"/>
    </xf>
    <xf numFmtId="0" fontId="5" fillId="0" borderId="0" xfId="18" applyNumberFormat="1" applyFont="1" applyFill="1"/>
    <xf numFmtId="0" fontId="16" fillId="0" borderId="0" xfId="18" applyNumberFormat="1" applyFont="1" applyFill="1"/>
    <xf numFmtId="0" fontId="5" fillId="0" borderId="4" xfId="18" applyNumberFormat="1" applyFont="1" applyFill="1" applyBorder="1" applyAlignment="1">
      <alignment horizontal="center"/>
    </xf>
    <xf numFmtId="37" fontId="15" fillId="0" borderId="0" xfId="18" applyNumberFormat="1" applyFill="1"/>
    <xf numFmtId="0" fontId="42" fillId="0" borderId="0" xfId="18" applyNumberFormat="1" applyFont="1" applyFill="1" applyAlignment="1">
      <alignment horizontal="right"/>
    </xf>
    <xf numFmtId="0" fontId="32" fillId="0" borderId="0" xfId="18" quotePrefix="1" applyNumberFormat="1" applyFont="1" applyFill="1" applyAlignment="1">
      <alignment horizontal="center"/>
    </xf>
    <xf numFmtId="0" fontId="42" fillId="0" borderId="0" xfId="18" applyNumberFormat="1" applyFont="1" applyFill="1" applyAlignment="1">
      <alignment horizontal="center"/>
    </xf>
    <xf numFmtId="0" fontId="32" fillId="0" borderId="0" xfId="18" applyNumberFormat="1" applyFont="1" applyFill="1" applyAlignment="1">
      <alignment horizontal="center"/>
    </xf>
    <xf numFmtId="0" fontId="32" fillId="0" borderId="0" xfId="18" applyNumberFormat="1" applyFont="1" applyFill="1" applyAlignment="1">
      <alignment horizontal="center" wrapText="1"/>
    </xf>
    <xf numFmtId="0" fontId="15" fillId="0" borderId="0" xfId="18" applyNumberFormat="1" applyFill="1" applyAlignment="1">
      <alignment horizontal="center"/>
    </xf>
    <xf numFmtId="165" fontId="15" fillId="0" borderId="0" xfId="18" applyNumberFormat="1" applyFill="1" applyAlignment="1">
      <alignment horizontal="center"/>
    </xf>
    <xf numFmtId="39" fontId="15" fillId="0" borderId="0" xfId="18" applyNumberFormat="1" applyFill="1"/>
    <xf numFmtId="1" fontId="15" fillId="0" borderId="0" xfId="18" applyNumberFormat="1" applyFill="1"/>
    <xf numFmtId="1" fontId="15" fillId="0" borderId="0" xfId="18" applyNumberFormat="1" applyFill="1" applyAlignment="1">
      <alignment horizontal="right"/>
    </xf>
    <xf numFmtId="165" fontId="15" fillId="0" borderId="0" xfId="18" applyNumberFormat="1" applyFont="1" applyFill="1" applyAlignment="1">
      <alignment horizontal="center"/>
    </xf>
    <xf numFmtId="172" fontId="15" fillId="0" borderId="0" xfId="18" applyNumberFormat="1" applyFill="1"/>
    <xf numFmtId="37" fontId="15" fillId="0" borderId="0" xfId="18" applyNumberFormat="1" applyFill="1" applyBorder="1"/>
    <xf numFmtId="1" fontId="60" fillId="0" borderId="0" xfId="18" applyNumberFormat="1" applyFont="1" applyFill="1" applyBorder="1" applyAlignment="1">
      <alignment horizontal="right"/>
    </xf>
    <xf numFmtId="0" fontId="60" fillId="0" borderId="0" xfId="18" applyNumberFormat="1" applyFont="1" applyFill="1" applyBorder="1"/>
    <xf numFmtId="0" fontId="15" fillId="0" borderId="0" xfId="18" applyNumberFormat="1" applyFont="1" applyFill="1" applyBorder="1"/>
    <xf numFmtId="37" fontId="15" fillId="0" borderId="0" xfId="18" applyNumberFormat="1" applyFont="1" applyFill="1" applyBorder="1"/>
    <xf numFmtId="37" fontId="33" fillId="0" borderId="0" xfId="18" applyNumberFormat="1" applyFont="1" applyFill="1" applyBorder="1"/>
    <xf numFmtId="165" fontId="61" fillId="0" borderId="0" xfId="18" applyNumberFormat="1" applyFont="1" applyFill="1" applyAlignment="1">
      <alignment horizontal="center"/>
    </xf>
    <xf numFmtId="0" fontId="61" fillId="0" borderId="0" xfId="18" applyNumberFormat="1" applyFont="1" applyFill="1"/>
    <xf numFmtId="37" fontId="15" fillId="0" borderId="4" xfId="18" applyNumberFormat="1" applyFill="1" applyBorder="1"/>
    <xf numFmtId="0" fontId="12" fillId="0" borderId="0" xfId="18" applyNumberFormat="1" applyFont="1" applyFill="1"/>
    <xf numFmtId="176" fontId="5" fillId="0" borderId="28" xfId="19" applyNumberFormat="1" applyFont="1" applyFill="1" applyBorder="1"/>
    <xf numFmtId="37" fontId="5" fillId="0" borderId="0" xfId="18" applyNumberFormat="1" applyFont="1" applyFill="1"/>
    <xf numFmtId="0" fontId="12" fillId="0" borderId="0" xfId="18" applyNumberFormat="1" applyFont="1" applyFill="1" applyAlignment="1">
      <alignment horizontal="right"/>
    </xf>
    <xf numFmtId="10" fontId="28" fillId="0" borderId="0" xfId="18" applyNumberFormat="1" applyFont="1" applyFill="1"/>
    <xf numFmtId="7" fontId="6" fillId="0" borderId="0" xfId="18" applyNumberFormat="1" applyFont="1" applyFill="1"/>
    <xf numFmtId="1" fontId="29" fillId="0" borderId="0" xfId="18" applyNumberFormat="1" applyFont="1" applyFill="1" applyAlignment="1">
      <alignment horizontal="center"/>
    </xf>
    <xf numFmtId="0" fontId="58" fillId="0" borderId="0" xfId="17" applyFont="1" applyFill="1"/>
    <xf numFmtId="14" fontId="4" fillId="0" borderId="0" xfId="17" applyNumberFormat="1" applyFill="1"/>
    <xf numFmtId="37" fontId="9" fillId="0" borderId="0" xfId="0" applyNumberFormat="1" applyFont="1" applyFill="1" applyAlignment="1"/>
    <xf numFmtId="0" fontId="0" fillId="0" borderId="0" xfId="0" applyNumberFormat="1" applyFill="1"/>
    <xf numFmtId="5" fontId="0" fillId="0" borderId="0" xfId="0" applyFill="1"/>
    <xf numFmtId="0" fontId="9" fillId="0" borderId="0" xfId="0" applyNumberFormat="1" applyFont="1" applyFill="1" applyAlignment="1"/>
    <xf numFmtId="0" fontId="20" fillId="0" borderId="0" xfId="0" quotePrefix="1" applyNumberFormat="1" applyFont="1" applyFill="1" applyAlignment="1">
      <alignment horizontal="left"/>
    </xf>
    <xf numFmtId="0" fontId="20" fillId="0" borderId="0" xfId="0" applyNumberFormat="1" applyFont="1" applyFill="1" applyAlignment="1">
      <alignment horizontal="center"/>
    </xf>
    <xf numFmtId="0" fontId="34" fillId="0" borderId="0" xfId="0" applyNumberFormat="1" applyFont="1" applyFill="1" applyAlignment="1">
      <alignment horizontal="center"/>
    </xf>
    <xf numFmtId="172" fontId="20" fillId="0" borderId="0" xfId="0" applyNumberFormat="1" applyFont="1" applyFill="1" applyAlignment="1">
      <alignment horizontal="center"/>
    </xf>
    <xf numFmtId="17" fontId="0" fillId="0" borderId="0" xfId="0" applyNumberFormat="1" applyFill="1"/>
    <xf numFmtId="38" fontId="0" fillId="0" borderId="0" xfId="0" applyNumberFormat="1" applyFill="1"/>
    <xf numFmtId="172" fontId="0" fillId="0" borderId="0" xfId="0" applyNumberFormat="1" applyFill="1"/>
    <xf numFmtId="37" fontId="10" fillId="0" borderId="0" xfId="0" applyNumberFormat="1" applyFont="1" applyFill="1"/>
    <xf numFmtId="38" fontId="10" fillId="0" borderId="0" xfId="0" applyNumberFormat="1" applyFont="1" applyFill="1"/>
    <xf numFmtId="38" fontId="0" fillId="0" borderId="0" xfId="0" applyNumberFormat="1" applyFill="1" applyBorder="1"/>
    <xf numFmtId="37" fontId="0" fillId="0" borderId="6" xfId="0" applyNumberFormat="1" applyFill="1" applyBorder="1"/>
    <xf numFmtId="38" fontId="0" fillId="0" borderId="6" xfId="0" applyNumberFormat="1" applyFill="1" applyBorder="1"/>
    <xf numFmtId="5" fontId="0" fillId="0" borderId="29" xfId="0" applyFill="1" applyBorder="1"/>
    <xf numFmtId="38" fontId="0" fillId="0" borderId="29" xfId="0" applyNumberFormat="1" applyFill="1" applyBorder="1"/>
    <xf numFmtId="8" fontId="0" fillId="0" borderId="29" xfId="0" applyNumberFormat="1" applyFill="1" applyBorder="1"/>
    <xf numFmtId="172" fontId="0" fillId="0" borderId="29" xfId="0" applyNumberFormat="1" applyFill="1" applyBorder="1"/>
    <xf numFmtId="0" fontId="20" fillId="0" borderId="0" xfId="0" applyNumberFormat="1" applyFont="1" applyFill="1" applyAlignment="1">
      <alignment horizontal="right"/>
    </xf>
    <xf numFmtId="5" fontId="34" fillId="0" borderId="0" xfId="0" applyFont="1" applyFill="1" applyAlignment="1">
      <alignment horizontal="right"/>
    </xf>
    <xf numFmtId="5" fontId="0" fillId="0" borderId="0" xfId="0" applyNumberFormat="1" applyFill="1" applyAlignment="1">
      <alignment horizontal="right"/>
    </xf>
    <xf numFmtId="0" fontId="34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0" fontId="7" fillId="0" borderId="0" xfId="0" applyNumberFormat="1" applyFont="1" applyFill="1"/>
    <xf numFmtId="0" fontId="24" fillId="0" borderId="0" xfId="0" applyNumberFormat="1" applyFont="1" applyFill="1"/>
    <xf numFmtId="37" fontId="7" fillId="0" borderId="0" xfId="0" applyNumberFormat="1" applyFont="1" applyFill="1" applyBorder="1"/>
    <xf numFmtId="5" fontId="24" fillId="0" borderId="0" xfId="0" applyFont="1" applyFill="1"/>
    <xf numFmtId="37" fontId="7" fillId="0" borderId="0" xfId="0" applyNumberFormat="1" applyFont="1" applyFill="1"/>
    <xf numFmtId="38" fontId="7" fillId="0" borderId="0" xfId="0" applyNumberFormat="1" applyFont="1" applyFill="1"/>
    <xf numFmtId="5" fontId="7" fillId="0" borderId="0" xfId="0" applyFont="1" applyFill="1"/>
    <xf numFmtId="0" fontId="6" fillId="0" borderId="0" xfId="0" applyNumberFormat="1" applyFont="1" applyFill="1"/>
    <xf numFmtId="37" fontId="7" fillId="0" borderId="6" xfId="0" applyNumberFormat="1" applyFont="1" applyFill="1" applyBorder="1"/>
    <xf numFmtId="38" fontId="7" fillId="0" borderId="6" xfId="0" applyNumberFormat="1" applyFont="1" applyFill="1" applyBorder="1"/>
    <xf numFmtId="5" fontId="0" fillId="0" borderId="31" xfId="0" applyFill="1" applyBorder="1"/>
    <xf numFmtId="38" fontId="0" fillId="0" borderId="31" xfId="0" applyNumberFormat="1" applyFill="1" applyBorder="1"/>
    <xf numFmtId="5" fontId="0" fillId="0" borderId="0" xfId="0" applyFill="1" applyBorder="1"/>
    <xf numFmtId="0" fontId="9" fillId="0" borderId="0" xfId="0" quotePrefix="1" applyNumberFormat="1" applyFont="1" applyFill="1" applyAlignment="1">
      <alignment horizontal="center"/>
    </xf>
    <xf numFmtId="5" fontId="0" fillId="0" borderId="0" xfId="0" applyFill="1" applyAlignment="1">
      <alignment horizontal="right"/>
    </xf>
    <xf numFmtId="7" fontId="0" fillId="0" borderId="0" xfId="0" applyNumberFormat="1" applyFill="1"/>
    <xf numFmtId="6" fontId="7" fillId="0" borderId="0" xfId="0" applyNumberFormat="1" applyFont="1" applyFill="1"/>
    <xf numFmtId="6" fontId="0" fillId="0" borderId="29" xfId="0" applyNumberFormat="1" applyFill="1" applyBorder="1"/>
    <xf numFmtId="5" fontId="7" fillId="0" borderId="29" xfId="0" applyFont="1" applyFill="1" applyBorder="1"/>
    <xf numFmtId="0" fontId="19" fillId="0" borderId="0" xfId="0" applyNumberFormat="1" applyFont="1" applyFill="1" applyAlignment="1">
      <alignment horizontal="center"/>
    </xf>
    <xf numFmtId="0" fontId="9" fillId="0" borderId="0" xfId="0" applyNumberFormat="1" applyFont="1" applyFill="1"/>
    <xf numFmtId="5" fontId="7" fillId="0" borderId="0" xfId="0" applyFont="1" applyFill="1" applyBorder="1"/>
    <xf numFmtId="8" fontId="0" fillId="0" borderId="0" xfId="0" applyNumberFormat="1" applyFill="1" applyBorder="1"/>
    <xf numFmtId="172" fontId="0" fillId="0" borderId="0" xfId="0" applyNumberFormat="1" applyFill="1" applyBorder="1"/>
    <xf numFmtId="5" fontId="9" fillId="0" borderId="0" xfId="0" applyFont="1" applyFill="1"/>
    <xf numFmtId="0" fontId="19" fillId="0" borderId="0" xfId="0" applyNumberFormat="1" applyFont="1" applyFill="1"/>
    <xf numFmtId="37" fontId="15" fillId="0" borderId="0" xfId="0" applyNumberFormat="1" applyFont="1" applyFill="1"/>
    <xf numFmtId="0" fontId="15" fillId="0" borderId="0" xfId="0" applyNumberFormat="1" applyFont="1" applyFill="1"/>
    <xf numFmtId="10" fontId="15" fillId="0" borderId="0" xfId="0" applyNumberFormat="1" applyFont="1" applyFill="1"/>
    <xf numFmtId="5" fontId="33" fillId="0" borderId="0" xfId="0" applyNumberFormat="1" applyFont="1" applyFill="1"/>
    <xf numFmtId="5" fontId="15" fillId="0" borderId="0" xfId="0" applyNumberFormat="1" applyFont="1" applyFill="1" applyAlignment="1">
      <alignment horizontal="right"/>
    </xf>
    <xf numFmtId="177" fontId="15" fillId="0" borderId="0" xfId="0" applyNumberFormat="1" applyFont="1" applyFill="1" applyAlignment="1">
      <alignment horizontal="left"/>
    </xf>
    <xf numFmtId="178" fontId="15" fillId="0" borderId="0" xfId="0" applyNumberFormat="1" applyFont="1" applyFill="1" applyAlignment="1">
      <alignment horizontal="left"/>
    </xf>
    <xf numFmtId="9" fontId="15" fillId="0" borderId="0" xfId="16" applyFont="1" applyFill="1" applyAlignment="1">
      <alignment horizontal="center"/>
    </xf>
    <xf numFmtId="8" fontId="0" fillId="0" borderId="0" xfId="0" applyNumberFormat="1" applyFill="1" applyAlignment="1">
      <alignment horizontal="left"/>
    </xf>
    <xf numFmtId="37" fontId="0" fillId="0" borderId="0" xfId="0" applyNumberFormat="1" applyFill="1" applyAlignment="1"/>
    <xf numFmtId="170" fontId="0" fillId="0" borderId="0" xfId="0" applyNumberFormat="1" applyFill="1" applyAlignment="1">
      <alignment horizontal="left"/>
    </xf>
    <xf numFmtId="5" fontId="9" fillId="0" borderId="0" xfId="0" applyNumberFormat="1" applyFont="1" applyFill="1" applyAlignment="1"/>
    <xf numFmtId="5" fontId="9" fillId="0" borderId="0" xfId="0" applyNumberFormat="1" applyFont="1" applyFill="1" applyBorder="1" applyAlignment="1">
      <alignment horizontal="center"/>
    </xf>
    <xf numFmtId="0" fontId="19" fillId="0" borderId="0" xfId="0" quotePrefix="1" applyNumberFormat="1" applyFont="1" applyFill="1" applyAlignment="1">
      <alignment horizontal="left"/>
    </xf>
    <xf numFmtId="0" fontId="19" fillId="0" borderId="0" xfId="0" quotePrefix="1" applyNumberFormat="1" applyFont="1" applyFill="1"/>
    <xf numFmtId="8" fontId="20" fillId="0" borderId="0" xfId="0" applyNumberFormat="1" applyFont="1" applyFill="1" applyAlignment="1">
      <alignment horizontal="right"/>
    </xf>
    <xf numFmtId="8" fontId="0" fillId="0" borderId="6" xfId="0" applyNumberFormat="1" applyFill="1" applyBorder="1"/>
    <xf numFmtId="0" fontId="9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right"/>
    </xf>
    <xf numFmtId="6" fontId="9" fillId="0" borderId="0" xfId="0" applyNumberFormat="1" applyFont="1" applyFill="1"/>
    <xf numFmtId="5" fontId="9" fillId="0" borderId="29" xfId="0" applyFont="1" applyFill="1" applyBorder="1"/>
    <xf numFmtId="177" fontId="0" fillId="0" borderId="0" xfId="0" applyNumberFormat="1" applyFill="1"/>
    <xf numFmtId="10" fontId="0" fillId="0" borderId="0" xfId="0" applyNumberFormat="1" applyFill="1" applyAlignment="1">
      <alignment horizontal="left"/>
    </xf>
    <xf numFmtId="5" fontId="0" fillId="0" borderId="0" xfId="0" applyNumberFormat="1" applyFill="1" applyAlignment="1"/>
    <xf numFmtId="173" fontId="0" fillId="0" borderId="0" xfId="0" applyNumberFormat="1" applyFill="1" applyAlignment="1">
      <alignment horizontal="left"/>
    </xf>
    <xf numFmtId="5" fontId="2" fillId="0" borderId="0" xfId="125" applyNumberFormat="1" applyFont="1" applyFill="1"/>
    <xf numFmtId="9" fontId="3" fillId="0" borderId="0" xfId="16" applyFont="1" applyFill="1"/>
    <xf numFmtId="5" fontId="3" fillId="0" borderId="0" xfId="125" applyNumberFormat="1" applyFill="1" applyBorder="1"/>
    <xf numFmtId="179" fontId="3" fillId="0" borderId="0" xfId="16" applyNumberFormat="1" applyFont="1" applyFill="1"/>
    <xf numFmtId="10" fontId="3" fillId="0" borderId="0" xfId="16" applyNumberFormat="1" applyFont="1" applyFill="1"/>
    <xf numFmtId="5" fontId="19" fillId="0" borderId="0" xfId="125" applyNumberFormat="1" applyFont="1" applyFill="1"/>
    <xf numFmtId="5" fontId="35" fillId="0" borderId="0" xfId="125" applyNumberFormat="1" applyFont="1" applyFill="1"/>
    <xf numFmtId="38" fontId="6" fillId="0" borderId="0" xfId="125" applyNumberFormat="1" applyFont="1" applyFill="1" applyAlignment="1">
      <alignment horizontal="right"/>
    </xf>
    <xf numFmtId="5" fontId="35" fillId="0" borderId="0" xfId="125" applyNumberFormat="1" applyFont="1" applyFill="1" applyAlignment="1">
      <alignment horizontal="right"/>
    </xf>
    <xf numFmtId="5" fontId="26" fillId="0" borderId="0" xfId="125" applyNumberFormat="1" applyFont="1" applyFill="1" applyAlignment="1">
      <alignment horizontal="right"/>
    </xf>
    <xf numFmtId="5" fontId="6" fillId="0" borderId="0" xfId="125" applyNumberFormat="1" applyFont="1" applyFill="1"/>
    <xf numFmtId="5" fontId="3" fillId="0" borderId="0" xfId="125" applyNumberFormat="1" applyFill="1" applyAlignment="1">
      <alignment horizontal="right"/>
    </xf>
    <xf numFmtId="6" fontId="26" fillId="0" borderId="0" xfId="125" applyNumberFormat="1" applyFont="1" applyFill="1" applyAlignment="1">
      <alignment horizontal="right"/>
    </xf>
    <xf numFmtId="5" fontId="29" fillId="0" borderId="0" xfId="125" applyNumberFormat="1" applyFont="1" applyFill="1"/>
    <xf numFmtId="6" fontId="37" fillId="0" borderId="30" xfId="125" applyNumberFormat="1" applyFont="1" applyFill="1" applyBorder="1" applyAlignment="1">
      <alignment horizontal="right"/>
    </xf>
    <xf numFmtId="5" fontId="37" fillId="0" borderId="0" xfId="125" applyNumberFormat="1" applyFont="1" applyFill="1"/>
    <xf numFmtId="6" fontId="26" fillId="0" borderId="0" xfId="125" applyNumberFormat="1" applyFont="1" applyFill="1" applyBorder="1" applyAlignment="1">
      <alignment horizontal="right"/>
    </xf>
    <xf numFmtId="5" fontId="37" fillId="0" borderId="29" xfId="125" applyNumberFormat="1" applyFont="1" applyFill="1" applyBorder="1" applyAlignment="1">
      <alignment horizontal="right"/>
    </xf>
    <xf numFmtId="6" fontId="3" fillId="0" borderId="0" xfId="125" applyNumberFormat="1" applyFill="1"/>
    <xf numFmtId="6" fontId="37" fillId="0" borderId="0" xfId="125" applyNumberFormat="1" applyFont="1" applyFill="1"/>
    <xf numFmtId="6" fontId="37" fillId="0" borderId="30" xfId="125" applyNumberFormat="1" applyFont="1" applyFill="1" applyBorder="1"/>
    <xf numFmtId="6" fontId="26" fillId="0" borderId="0" xfId="125" applyNumberFormat="1" applyFont="1" applyFill="1"/>
    <xf numFmtId="5" fontId="9" fillId="0" borderId="0" xfId="125" applyNumberFormat="1" applyFont="1" applyFill="1"/>
    <xf numFmtId="176" fontId="0" fillId="0" borderId="14" xfId="2" applyNumberFormat="1" applyFont="1" applyFill="1" applyBorder="1"/>
    <xf numFmtId="5" fontId="22" fillId="0" borderId="10" xfId="0" applyNumberFormat="1" applyFont="1" applyFill="1" applyBorder="1"/>
    <xf numFmtId="176" fontId="0" fillId="0" borderId="38" xfId="2" applyNumberFormat="1" applyFont="1" applyFill="1" applyBorder="1"/>
    <xf numFmtId="176" fontId="0" fillId="0" borderId="39" xfId="2" applyNumberFormat="1" applyFont="1" applyFill="1" applyBorder="1"/>
    <xf numFmtId="5" fontId="9" fillId="0" borderId="0" xfId="0" applyNumberFormat="1" applyFont="1" applyFill="1" applyAlignment="1">
      <alignment horizontal="center"/>
    </xf>
    <xf numFmtId="176" fontId="0" fillId="0" borderId="3" xfId="2" applyNumberFormat="1" applyFont="1" applyFill="1" applyBorder="1"/>
    <xf numFmtId="176" fontId="0" fillId="0" borderId="0" xfId="2" applyNumberFormat="1" applyFont="1" applyFill="1"/>
    <xf numFmtId="176" fontId="0" fillId="0" borderId="2" xfId="2" applyNumberFormat="1" applyFont="1" applyFill="1" applyBorder="1"/>
    <xf numFmtId="176" fontId="0" fillId="0" borderId="35" xfId="2" applyNumberFormat="1" applyFont="1" applyFill="1" applyBorder="1"/>
    <xf numFmtId="176" fontId="73" fillId="0" borderId="3" xfId="2" applyNumberFormat="1" applyFont="1" applyFill="1" applyBorder="1"/>
    <xf numFmtId="176" fontId="7" fillId="0" borderId="3" xfId="2" applyNumberFormat="1" applyFont="1" applyFill="1" applyBorder="1"/>
    <xf numFmtId="176" fontId="0" fillId="0" borderId="37" xfId="2" applyNumberFormat="1" applyFont="1" applyFill="1" applyBorder="1"/>
    <xf numFmtId="175" fontId="0" fillId="0" borderId="24" xfId="1" applyNumberFormat="1" applyFont="1" applyFill="1" applyBorder="1"/>
    <xf numFmtId="175" fontId="0" fillId="0" borderId="34" xfId="1" applyNumberFormat="1" applyFont="1" applyFill="1" applyBorder="1"/>
    <xf numFmtId="175" fontId="0" fillId="0" borderId="3" xfId="1" applyNumberFormat="1" applyFont="1" applyFill="1" applyBorder="1"/>
    <xf numFmtId="176" fontId="7" fillId="0" borderId="0" xfId="2" applyNumberFormat="1" applyFont="1" applyFill="1"/>
    <xf numFmtId="176" fontId="9" fillId="0" borderId="0" xfId="2" applyNumberFormat="1" applyFont="1" applyFill="1"/>
    <xf numFmtId="176" fontId="7" fillId="0" borderId="25" xfId="2" applyNumberFormat="1" applyFont="1" applyFill="1" applyBorder="1"/>
    <xf numFmtId="176" fontId="9" fillId="0" borderId="25" xfId="2" applyNumberFormat="1" applyFont="1" applyFill="1" applyBorder="1"/>
    <xf numFmtId="175" fontId="7" fillId="0" borderId="0" xfId="1" applyNumberFormat="1" applyFont="1" applyFill="1"/>
    <xf numFmtId="175" fontId="9" fillId="0" borderId="0" xfId="1" applyNumberFormat="1" applyFont="1" applyFill="1"/>
    <xf numFmtId="175" fontId="15" fillId="0" borderId="0" xfId="1" applyNumberFormat="1" applyFont="1" applyFill="1"/>
    <xf numFmtId="176" fontId="15" fillId="0" borderId="0" xfId="2" applyNumberFormat="1" applyFont="1" applyFill="1"/>
    <xf numFmtId="176" fontId="15" fillId="0" borderId="0" xfId="2" applyNumberFormat="1" applyFont="1" applyFill="1" applyBorder="1"/>
    <xf numFmtId="176" fontId="33" fillId="0" borderId="0" xfId="2" applyNumberFormat="1" applyFont="1" applyFill="1" applyBorder="1"/>
    <xf numFmtId="176" fontId="15" fillId="0" borderId="25" xfId="2" applyNumberFormat="1" applyFont="1" applyFill="1" applyBorder="1"/>
    <xf numFmtId="176" fontId="33" fillId="0" borderId="25" xfId="2" applyNumberFormat="1" applyFont="1" applyFill="1" applyBorder="1"/>
    <xf numFmtId="175" fontId="15" fillId="0" borderId="0" xfId="1" applyNumberFormat="1" applyFont="1" applyFill="1" applyBorder="1"/>
    <xf numFmtId="175" fontId="33" fillId="0" borderId="0" xfId="1" applyNumberFormat="1" applyFont="1" applyFill="1" applyBorder="1"/>
    <xf numFmtId="10" fontId="0" fillId="0" borderId="0" xfId="16" applyNumberFormat="1" applyFont="1" applyFill="1"/>
    <xf numFmtId="0" fontId="7" fillId="0" borderId="0" xfId="4" applyNumberFormat="1" applyFont="1" applyFill="1"/>
    <xf numFmtId="0" fontId="0" fillId="2" borderId="0" xfId="0" applyNumberFormat="1" applyAlignment="1"/>
    <xf numFmtId="1" fontId="0" fillId="2" borderId="0" xfId="0" applyNumberFormat="1" applyAlignment="1"/>
    <xf numFmtId="3" fontId="0" fillId="2" borderId="0" xfId="0" applyNumberFormat="1" applyAlignment="1"/>
    <xf numFmtId="17" fontId="0" fillId="2" borderId="0" xfId="0" applyNumberFormat="1" applyAlignment="1"/>
    <xf numFmtId="0" fontId="74" fillId="2" borderId="0" xfId="0" applyNumberFormat="1" applyFont="1" applyAlignment="1">
      <alignment horizontal="center"/>
    </xf>
    <xf numFmtId="6" fontId="29" fillId="36" borderId="0" xfId="0" applyNumberFormat="1" applyFont="1" applyFill="1"/>
    <xf numFmtId="38" fontId="29" fillId="36" borderId="0" xfId="0" applyNumberFormat="1" applyFont="1" applyFill="1" applyAlignment="1">
      <alignment horizontal="center"/>
    </xf>
    <xf numFmtId="0" fontId="39" fillId="36" borderId="0" xfId="8" applyFont="1" applyFill="1" applyAlignment="1">
      <alignment horizontal="center"/>
    </xf>
    <xf numFmtId="0" fontId="40" fillId="36" borderId="0" xfId="8" applyFont="1" applyFill="1"/>
    <xf numFmtId="6" fontId="29" fillId="36" borderId="0" xfId="1" applyNumberFormat="1" applyFont="1" applyFill="1"/>
    <xf numFmtId="6" fontId="0" fillId="36" borderId="0" xfId="0" applyNumberFormat="1" applyFill="1"/>
    <xf numFmtId="5" fontId="0" fillId="36" borderId="0" xfId="0" applyNumberFormat="1" applyFill="1"/>
    <xf numFmtId="6" fontId="15" fillId="36" borderId="0" xfId="124" applyNumberFormat="1" applyFont="1" applyFill="1"/>
    <xf numFmtId="5" fontId="26" fillId="36" borderId="0" xfId="125" applyNumberFormat="1" applyFont="1" applyFill="1" applyAlignment="1">
      <alignment horizontal="right"/>
    </xf>
    <xf numFmtId="6" fontId="33" fillId="36" borderId="30" xfId="124" applyNumberFormat="1" applyFont="1" applyFill="1" applyBorder="1"/>
    <xf numFmtId="6" fontId="37" fillId="36" borderId="30" xfId="125" applyNumberFormat="1" applyFont="1" applyFill="1" applyBorder="1" applyAlignment="1">
      <alignment horizontal="right"/>
    </xf>
    <xf numFmtId="5" fontId="37" fillId="36" borderId="29" xfId="125" applyNumberFormat="1" applyFont="1" applyFill="1" applyBorder="1" applyAlignment="1">
      <alignment horizontal="right"/>
    </xf>
    <xf numFmtId="0" fontId="38" fillId="36" borderId="0" xfId="8" applyFont="1" applyFill="1" applyAlignment="1">
      <alignment horizontal="center"/>
    </xf>
    <xf numFmtId="0" fontId="41" fillId="36" borderId="0" xfId="8" applyFont="1" applyFill="1"/>
    <xf numFmtId="6" fontId="38" fillId="36" borderId="0" xfId="0" applyNumberFormat="1" applyFont="1" applyFill="1"/>
    <xf numFmtId="5" fontId="38" fillId="36" borderId="0" xfId="0" applyNumberFormat="1" applyFont="1" applyFill="1"/>
    <xf numFmtId="0" fontId="33" fillId="36" borderId="0" xfId="13" applyNumberFormat="1" applyFont="1" applyFill="1" applyAlignment="1">
      <alignment horizontal="center"/>
    </xf>
    <xf numFmtId="0" fontId="7" fillId="36" borderId="0" xfId="13" applyNumberFormat="1" applyFont="1" applyFill="1"/>
    <xf numFmtId="37" fontId="10" fillId="36" borderId="0" xfId="13" applyNumberFormat="1" applyFont="1" applyFill="1"/>
    <xf numFmtId="176" fontId="7" fillId="36" borderId="0" xfId="2" applyNumberFormat="1" applyFont="1" applyFill="1"/>
    <xf numFmtId="176" fontId="9" fillId="36" borderId="0" xfId="2" applyNumberFormat="1" applyFont="1" applyFill="1"/>
    <xf numFmtId="0" fontId="15" fillId="36" borderId="0" xfId="13" applyNumberFormat="1" applyFont="1" applyFill="1"/>
    <xf numFmtId="175" fontId="7" fillId="36" borderId="0" xfId="1" applyNumberFormat="1" applyFont="1" applyFill="1"/>
    <xf numFmtId="175" fontId="9" fillId="36" borderId="0" xfId="1" applyNumberFormat="1" applyFont="1" applyFill="1"/>
    <xf numFmtId="37" fontId="10" fillId="36" borderId="0" xfId="13" quotePrefix="1" applyNumberFormat="1" applyFont="1" applyFill="1"/>
    <xf numFmtId="8" fontId="15" fillId="36" borderId="0" xfId="13" applyNumberFormat="1" applyFont="1" applyFill="1"/>
    <xf numFmtId="0" fontId="10" fillId="36" borderId="0" xfId="13" applyNumberFormat="1" applyFont="1" applyFill="1"/>
    <xf numFmtId="175" fontId="15" fillId="36" borderId="0" xfId="1" applyNumberFormat="1" applyFont="1" applyFill="1"/>
    <xf numFmtId="37" fontId="15" fillId="36" borderId="0" xfId="13" applyNumberFormat="1" applyFont="1" applyFill="1"/>
    <xf numFmtId="37" fontId="10" fillId="36" borderId="0" xfId="13" applyNumberFormat="1" applyFont="1" applyFill="1" applyBorder="1"/>
    <xf numFmtId="0" fontId="7" fillId="36" borderId="0" xfId="5" applyNumberFormat="1" applyFill="1" applyAlignment="1">
      <alignment horizontal="left"/>
    </xf>
    <xf numFmtId="0" fontId="7" fillId="36" borderId="0" xfId="5" applyNumberFormat="1" applyFont="1" applyFill="1" applyAlignment="1">
      <alignment horizontal="left"/>
    </xf>
    <xf numFmtId="0" fontId="7" fillId="36" borderId="0" xfId="12" applyNumberFormat="1" applyFont="1" applyFill="1"/>
    <xf numFmtId="37" fontId="72" fillId="0" borderId="15" xfId="14" applyNumberFormat="1" applyFont="1" applyFill="1" applyBorder="1" applyAlignment="1">
      <alignment horizontal="center"/>
    </xf>
    <xf numFmtId="37" fontId="72" fillId="0" borderId="0" xfId="14" applyNumberFormat="1" applyFont="1" applyFill="1" applyAlignment="1">
      <alignment horizontal="center"/>
    </xf>
    <xf numFmtId="37" fontId="72" fillId="0" borderId="16" xfId="14" applyNumberFormat="1" applyFont="1" applyFill="1" applyBorder="1" applyAlignment="1">
      <alignment horizontal="center"/>
    </xf>
    <xf numFmtId="165" fontId="18" fillId="0" borderId="0" xfId="14" applyNumberFormat="1" applyFont="1" applyFill="1" applyBorder="1" applyAlignment="1">
      <alignment horizontal="center"/>
    </xf>
    <xf numFmtId="37" fontId="7" fillId="0" borderId="16" xfId="14" applyNumberFormat="1" applyFill="1" applyBorder="1" applyAlignment="1">
      <alignment horizontal="center"/>
    </xf>
    <xf numFmtId="37" fontId="17" fillId="0" borderId="15" xfId="14" applyNumberFormat="1" applyFont="1" applyFill="1" applyBorder="1" applyAlignment="1">
      <alignment horizontal="center"/>
    </xf>
    <xf numFmtId="37" fontId="17" fillId="0" borderId="0" xfId="14" applyNumberFormat="1" applyFont="1" applyFill="1" applyAlignment="1">
      <alignment horizontal="center"/>
    </xf>
    <xf numFmtId="37" fontId="17" fillId="0" borderId="16" xfId="14" applyNumberFormat="1" applyFont="1" applyFill="1" applyBorder="1" applyAlignment="1">
      <alignment horizontal="center"/>
    </xf>
    <xf numFmtId="37" fontId="71" fillId="0" borderId="15" xfId="14" applyNumberFormat="1" applyFont="1" applyFill="1" applyBorder="1" applyAlignment="1">
      <alignment horizontal="center"/>
    </xf>
    <xf numFmtId="37" fontId="71" fillId="0" borderId="0" xfId="14" applyNumberFormat="1" applyFont="1" applyFill="1" applyAlignment="1">
      <alignment horizontal="center"/>
    </xf>
    <xf numFmtId="37" fontId="71" fillId="0" borderId="16" xfId="14" applyNumberFormat="1" applyFont="1" applyFill="1" applyBorder="1" applyAlignment="1">
      <alignment horizontal="center"/>
    </xf>
    <xf numFmtId="5" fontId="0" fillId="0" borderId="0" xfId="0" applyNumberFormat="1" applyFill="1" applyAlignment="1">
      <alignment horizontal="center"/>
    </xf>
    <xf numFmtId="5" fontId="0" fillId="0" borderId="16" xfId="0" applyNumberFormat="1" applyFill="1" applyBorder="1" applyAlignment="1">
      <alignment horizontal="center"/>
    </xf>
    <xf numFmtId="165" fontId="7" fillId="0" borderId="0" xfId="14" applyNumberFormat="1" applyFont="1" applyFill="1" applyBorder="1" applyAlignment="1">
      <alignment horizontal="center"/>
    </xf>
    <xf numFmtId="37" fontId="7" fillId="0" borderId="16" xfId="14" applyNumberFormat="1" applyFont="1" applyFill="1" applyBorder="1" applyAlignment="1">
      <alignment horizontal="center"/>
    </xf>
    <xf numFmtId="37" fontId="5" fillId="0" borderId="40" xfId="6" applyNumberFormat="1" applyFont="1" applyFill="1" applyBorder="1" applyAlignment="1">
      <alignment horizontal="center"/>
    </xf>
    <xf numFmtId="5" fontId="0" fillId="0" borderId="41" xfId="0" applyNumberFormat="1" applyFill="1" applyBorder="1" applyAlignment="1">
      <alignment horizontal="center"/>
    </xf>
    <xf numFmtId="5" fontId="0" fillId="0" borderId="42" xfId="0" applyNumberFormat="1" applyFill="1" applyBorder="1" applyAlignment="1">
      <alignment horizontal="center"/>
    </xf>
    <xf numFmtId="0" fontId="5" fillId="0" borderId="43" xfId="6" applyNumberFormat="1" applyFont="1" applyFill="1" applyBorder="1" applyAlignment="1">
      <alignment horizontal="center"/>
    </xf>
    <xf numFmtId="5" fontId="0" fillId="0" borderId="44" xfId="0" applyNumberFormat="1" applyFill="1" applyBorder="1" applyAlignment="1">
      <alignment horizontal="center"/>
    </xf>
    <xf numFmtId="5" fontId="5" fillId="0" borderId="45" xfId="6" applyNumberFormat="1" applyFont="1" applyFill="1" applyBorder="1" applyAlignment="1">
      <alignment horizontal="center"/>
    </xf>
    <xf numFmtId="5" fontId="0" fillId="0" borderId="32" xfId="0" applyNumberFormat="1" applyFill="1" applyBorder="1" applyAlignment="1">
      <alignment horizontal="center"/>
    </xf>
    <xf numFmtId="5" fontId="0" fillId="0" borderId="46" xfId="0" applyNumberFormat="1" applyFill="1" applyBorder="1" applyAlignment="1">
      <alignment horizontal="center"/>
    </xf>
    <xf numFmtId="0" fontId="16" fillId="0" borderId="0" xfId="6" applyNumberFormat="1" applyFont="1" applyFill="1" applyAlignment="1">
      <alignment horizontal="center"/>
    </xf>
    <xf numFmtId="37" fontId="11" fillId="0" borderId="0" xfId="4" applyNumberFormat="1" applyFont="1" applyFill="1" applyAlignment="1">
      <alignment horizontal="center"/>
    </xf>
    <xf numFmtId="0" fontId="5" fillId="0" borderId="0" xfId="4" applyNumberFormat="1" applyFont="1" applyFill="1" applyAlignment="1">
      <alignment horizontal="center"/>
    </xf>
    <xf numFmtId="5" fontId="11" fillId="0" borderId="0" xfId="4" applyNumberFormat="1" applyFont="1" applyFill="1" applyAlignment="1">
      <alignment horizontal="center"/>
    </xf>
    <xf numFmtId="5" fontId="9" fillId="0" borderId="0" xfId="0" applyNumberFormat="1" applyFont="1" applyFill="1" applyAlignment="1">
      <alignment horizontal="center"/>
    </xf>
    <xf numFmtId="0" fontId="12" fillId="0" borderId="0" xfId="4" applyNumberFormat="1" applyFont="1" applyFill="1" applyAlignment="1">
      <alignment horizontal="center"/>
    </xf>
    <xf numFmtId="0" fontId="10" fillId="0" borderId="0" xfId="9" applyNumberFormat="1" applyFont="1" applyFill="1" applyAlignment="1">
      <alignment horizontal="center"/>
    </xf>
    <xf numFmtId="37" fontId="9" fillId="0" borderId="0" xfId="9" applyNumberFormat="1" applyFont="1" applyFill="1" applyAlignment="1">
      <alignment horizontal="center"/>
    </xf>
    <xf numFmtId="0" fontId="9" fillId="0" borderId="0" xfId="9" applyNumberFormat="1" applyFont="1" applyFill="1" applyAlignment="1">
      <alignment horizontal="center"/>
    </xf>
    <xf numFmtId="5" fontId="9" fillId="0" borderId="0" xfId="9" applyNumberFormat="1" applyFont="1" applyFill="1" applyAlignment="1">
      <alignment horizontal="center"/>
    </xf>
    <xf numFmtId="0" fontId="9" fillId="0" borderId="6" xfId="0" quotePrefix="1" applyNumberFormat="1" applyFont="1" applyFill="1" applyBorder="1" applyAlignment="1">
      <alignment horizontal="center"/>
    </xf>
    <xf numFmtId="5" fontId="7" fillId="0" borderId="0" xfId="0" applyNumberFormat="1" applyFont="1" applyFill="1" applyAlignment="1">
      <alignment horizontal="center"/>
    </xf>
    <xf numFmtId="5" fontId="9" fillId="0" borderId="6" xfId="0" applyNumberFormat="1" applyFont="1" applyFill="1" applyBorder="1" applyAlignment="1">
      <alignment horizontal="center"/>
    </xf>
    <xf numFmtId="0" fontId="7" fillId="0" borderId="0" xfId="13" applyNumberFormat="1" applyFont="1" applyFill="1" applyAlignment="1">
      <alignment horizontal="center"/>
    </xf>
    <xf numFmtId="37" fontId="9" fillId="0" borderId="0" xfId="13" applyNumberFormat="1" applyFont="1" applyFill="1" applyAlignment="1">
      <alignment horizontal="center"/>
    </xf>
    <xf numFmtId="0" fontId="9" fillId="0" borderId="0" xfId="13" applyNumberFormat="1" applyFont="1" applyFill="1" applyAlignment="1">
      <alignment horizontal="center"/>
    </xf>
    <xf numFmtId="5" fontId="9" fillId="0" borderId="0" xfId="13" applyNumberFormat="1" applyFont="1" applyFill="1" applyAlignment="1">
      <alignment horizontal="center"/>
    </xf>
    <xf numFmtId="0" fontId="7" fillId="0" borderId="0" xfId="10" applyNumberFormat="1" applyFont="1" applyFill="1" applyAlignment="1">
      <alignment horizontal="center"/>
    </xf>
  </cellXfs>
  <cellStyles count="129">
    <cellStyle name="20% - Accent1 2" xfId="20"/>
    <cellStyle name="20% - Accent1 3" xfId="21"/>
    <cellStyle name="20% - Accent2 2" xfId="22"/>
    <cellStyle name="20% - Accent2 3" xfId="23"/>
    <cellStyle name="20% - Accent3 2" xfId="24"/>
    <cellStyle name="20% - Accent3 3" xfId="25"/>
    <cellStyle name="20% - Accent4 2" xfId="26"/>
    <cellStyle name="20% - Accent4 3" xfId="27"/>
    <cellStyle name="20% - Accent5 2" xfId="28"/>
    <cellStyle name="20% - Accent5 3" xfId="29"/>
    <cellStyle name="20% - Accent6 2" xfId="30"/>
    <cellStyle name="20% - Accent6 3" xfId="31"/>
    <cellStyle name="40% - Accent1 2" xfId="32"/>
    <cellStyle name="40% - Accent1 3" xfId="33"/>
    <cellStyle name="40% - Accent2 2" xfId="34"/>
    <cellStyle name="40% - Accent2 3" xfId="35"/>
    <cellStyle name="40% - Accent3 2" xfId="36"/>
    <cellStyle name="40% - Accent3 3" xfId="37"/>
    <cellStyle name="40% - Accent4 2" xfId="38"/>
    <cellStyle name="40% - Accent4 3" xfId="39"/>
    <cellStyle name="40% - Accent5 2" xfId="40"/>
    <cellStyle name="40% - Accent5 3" xfId="41"/>
    <cellStyle name="40% - Accent6 2" xfId="42"/>
    <cellStyle name="40% - Accent6 3" xfId="43"/>
    <cellStyle name="60% - Accent1 2" xfId="44"/>
    <cellStyle name="60% - Accent1 3" xfId="45"/>
    <cellStyle name="60% - Accent2 2" xfId="46"/>
    <cellStyle name="60% - Accent2 3" xfId="47"/>
    <cellStyle name="60% - Accent3 2" xfId="48"/>
    <cellStyle name="60% - Accent3 3" xfId="49"/>
    <cellStyle name="60% - Accent4 2" xfId="50"/>
    <cellStyle name="60% - Accent4 3" xfId="51"/>
    <cellStyle name="60% - Accent5 2" xfId="52"/>
    <cellStyle name="60% - Accent5 3" xfId="53"/>
    <cellStyle name="60% - Accent6 2" xfId="54"/>
    <cellStyle name="60% - Accent6 3" xfId="55"/>
    <cellStyle name="A" xfId="56"/>
    <cellStyle name="Accent1 2" xfId="57"/>
    <cellStyle name="Accent1 3" xfId="58"/>
    <cellStyle name="Accent2 2" xfId="59"/>
    <cellStyle name="Accent2 3" xfId="60"/>
    <cellStyle name="Accent3 2" xfId="61"/>
    <cellStyle name="Accent3 3" xfId="62"/>
    <cellStyle name="Accent4 2" xfId="63"/>
    <cellStyle name="Accent4 3" xfId="64"/>
    <cellStyle name="Accent5 2" xfId="65"/>
    <cellStyle name="Accent5 3" xfId="66"/>
    <cellStyle name="Accent6 2" xfId="67"/>
    <cellStyle name="Accent6 3" xfId="68"/>
    <cellStyle name="Bad 2" xfId="69"/>
    <cellStyle name="Bad 3" xfId="70"/>
    <cellStyle name="Calculation 2" xfId="71"/>
    <cellStyle name="Calculation 3" xfId="72"/>
    <cellStyle name="Check Cell 2" xfId="73"/>
    <cellStyle name="Check Cell 3" xfId="74"/>
    <cellStyle name="Comma" xfId="1" builtinId="3"/>
    <cellStyle name="Comma 2" xfId="75"/>
    <cellStyle name="Comma 3" xfId="76"/>
    <cellStyle name="Comma 4" xfId="126"/>
    <cellStyle name="Currency" xfId="2" builtinId="4"/>
    <cellStyle name="Currency 2" xfId="19"/>
    <cellStyle name="EvenBodyShade" xfId="77"/>
    <cellStyle name="Explanatory Text 2" xfId="78"/>
    <cellStyle name="Explanatory Text 3" xfId="79"/>
    <cellStyle name="Good 2" xfId="80"/>
    <cellStyle name="Good 3" xfId="81"/>
    <cellStyle name="Heading 1 2" xfId="82"/>
    <cellStyle name="Heading 1 3" xfId="83"/>
    <cellStyle name="Heading 2 2" xfId="84"/>
    <cellStyle name="Heading 2 3" xfId="85"/>
    <cellStyle name="Heading 3 2" xfId="86"/>
    <cellStyle name="Heading 3 3" xfId="87"/>
    <cellStyle name="Heading 4 2" xfId="88"/>
    <cellStyle name="Heading 4 3" xfId="89"/>
    <cellStyle name="HeadShade" xfId="90"/>
    <cellStyle name="I" xfId="91"/>
    <cellStyle name="Input 2" xfId="92"/>
    <cellStyle name="Input 3" xfId="93"/>
    <cellStyle name="Linked Cell 2" xfId="94"/>
    <cellStyle name="Linked Cell 3" xfId="95"/>
    <cellStyle name="Neutral 2" xfId="96"/>
    <cellStyle name="Neutral 3" xfId="97"/>
    <cellStyle name="Normal" xfId="0" builtinId="0"/>
    <cellStyle name="Normal 10" xfId="98"/>
    <cellStyle name="Normal 11" xfId="99"/>
    <cellStyle name="Normal 12" xfId="128"/>
    <cellStyle name="Normal 2" xfId="3"/>
    <cellStyle name="Normal 2 2" xfId="127"/>
    <cellStyle name="Normal 3" xfId="100"/>
    <cellStyle name="Normal 3 2" xfId="18"/>
    <cellStyle name="Normal 4" xfId="101"/>
    <cellStyle name="Normal 5" xfId="102"/>
    <cellStyle name="Normal 6" xfId="17"/>
    <cellStyle name="Normal 7" xfId="103"/>
    <cellStyle name="Normal 8" xfId="104"/>
    <cellStyle name="Normal 8 2" xfId="105"/>
    <cellStyle name="Normal 9" xfId="106"/>
    <cellStyle name="Normal 9 2" xfId="125"/>
    <cellStyle name="Normal_00 bud" xfId="4"/>
    <cellStyle name="Normal_admin" xfId="5"/>
    <cellStyle name="Normal_contents" xfId="6"/>
    <cellStyle name="Normal_franch" xfId="7"/>
    <cellStyle name="Normal_Import Budget" xfId="8"/>
    <cellStyle name="Normal_income" xfId="9"/>
    <cellStyle name="Normal_ins" xfId="10"/>
    <cellStyle name="Normal_mgmtfee" xfId="11"/>
    <cellStyle name="Normal_prof" xfId="12"/>
    <cellStyle name="Normal_pyrl 2" xfId="124"/>
    <cellStyle name="Normal_repairs" xfId="13"/>
    <cellStyle name="Normal_Sheet1" xfId="14"/>
    <cellStyle name="Normal_wtrswr" xfId="15"/>
    <cellStyle name="Note 2" xfId="107"/>
    <cellStyle name="Note 3" xfId="108"/>
    <cellStyle name="OddBodyShade" xfId="109"/>
    <cellStyle name="Output 2" xfId="110"/>
    <cellStyle name="Output 3" xfId="111"/>
    <cellStyle name="Overscore" xfId="112"/>
    <cellStyle name="Percent" xfId="16" builtinId="5"/>
    <cellStyle name="T" xfId="113"/>
    <cellStyle name="Title 2" xfId="114"/>
    <cellStyle name="Title 3" xfId="115"/>
    <cellStyle name="Title1" xfId="116"/>
    <cellStyle name="TitleOther" xfId="117"/>
    <cellStyle name="Total 2" xfId="118"/>
    <cellStyle name="Total 3" xfId="119"/>
    <cellStyle name="TotShade" xfId="120"/>
    <cellStyle name="Underscore" xfId="121"/>
    <cellStyle name="Warning Text 2" xfId="122"/>
    <cellStyle name="Warning Text 3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11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9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2015</a:t>
            </a:r>
            <a:r>
              <a:rPr lang="en-US" baseline="0"/>
              <a:t> </a:t>
            </a:r>
            <a:r>
              <a:rPr lang="en-US"/>
              <a:t>BUDGET EXPENSES 
Sample Ave CONDOMINIUM  </a:t>
            </a:r>
          </a:p>
        </c:rich>
      </c:tx>
      <c:layout>
        <c:manualLayout>
          <c:xMode val="edge"/>
          <c:yMode val="edge"/>
          <c:x val="0.37402885682575843"/>
          <c:y val="1.96399345335515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412874583796727"/>
          <c:y val="0.43371522094926934"/>
          <c:w val="0.43174250832409"/>
          <c:h val="0.253682487725049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CE2-4F70-9311-E79375B70BD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E2-4F70-9311-E79375B70BD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CE2-4F70-9311-E79375B70BD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E2-4F70-9311-E79375B70BD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CE2-4F70-9311-E79375B70BD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E2-4F70-9311-E79375B70BD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CE2-4F70-9311-E79375B70BD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E2-4F70-9311-E79375B70BD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CE2-4F70-9311-E79375B70BD0}"/>
              </c:ext>
            </c:extLst>
          </c:dPt>
          <c:dLbls>
            <c:dLbl>
              <c:idx val="0"/>
              <c:layout>
                <c:manualLayout>
                  <c:x val="6.7433152431972759E-2"/>
                  <c:y val="6.42346138811217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E2-4F70-9311-E79375B70BD0}"/>
                </c:ext>
              </c:extLst>
            </c:dLbl>
            <c:dLbl>
              <c:idx val="1"/>
              <c:layout>
                <c:manualLayout>
                  <c:x val="-6.1620538276222658E-2"/>
                  <c:y val="0.154850488206159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E2-4F70-9311-E79375B70BD0}"/>
                </c:ext>
              </c:extLst>
            </c:dLbl>
            <c:dLbl>
              <c:idx val="2"/>
              <c:layout>
                <c:manualLayout>
                  <c:x val="-0.12738462076258217"/>
                  <c:y val="9.58526747168062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E2-4F70-9311-E79375B70BD0}"/>
                </c:ext>
              </c:extLst>
            </c:dLbl>
            <c:dLbl>
              <c:idx val="3"/>
              <c:layout>
                <c:manualLayout>
                  <c:x val="-0.10034298431896901"/>
                  <c:y val="6.6088809275272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E2-4F70-9311-E79375B70BD0}"/>
                </c:ext>
              </c:extLst>
            </c:dLbl>
            <c:dLbl>
              <c:idx val="4"/>
              <c:layout>
                <c:manualLayout>
                  <c:x val="-6.5406824146982123E-2"/>
                  <c:y val="-6.03030185874884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E2-4F70-9311-E79375B70BD0}"/>
                </c:ext>
              </c:extLst>
            </c:dLbl>
            <c:dLbl>
              <c:idx val="5"/>
              <c:layout>
                <c:manualLayout>
                  <c:x val="-0.12230388515531009"/>
                  <c:y val="-5.1489447616101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CE2-4F70-9311-E79375B70BD0}"/>
                </c:ext>
              </c:extLst>
            </c:dLbl>
            <c:dLbl>
              <c:idx val="6"/>
              <c:layout>
                <c:manualLayout>
                  <c:x val="-6.1725641675478692E-2"/>
                  <c:y val="-0.136949967997045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E2-4F70-9311-E79375B70BD0}"/>
                </c:ext>
              </c:extLst>
            </c:dLbl>
            <c:dLbl>
              <c:idx val="7"/>
              <c:layout>
                <c:manualLayout>
                  <c:x val="-2.5837608256792592E-2"/>
                  <c:y val="-0.2164836269443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E2-4F70-9311-E79375B70BD0}"/>
                </c:ext>
              </c:extLst>
            </c:dLbl>
            <c:dLbl>
              <c:idx val="8"/>
              <c:layout>
                <c:manualLayout>
                  <c:x val="6.9486280918548998E-2"/>
                  <c:y val="-0.237583583557783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E2-4F70-9311-E79375B70BD0}"/>
                </c:ext>
              </c:extLst>
            </c:dLbl>
            <c:dLbl>
              <c:idx val="9"/>
              <c:layout>
                <c:manualLayout>
                  <c:x val="8.5780803481695755E-2"/>
                  <c:y val="-0.127810095751125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E2-4F70-9311-E79375B70B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E2-4F70-9311-E79375B70BD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budget!$B$70:$B$79</c:f>
              <c:strCache>
                <c:ptCount val="10"/>
                <c:pt idx="0">
                  <c:v>Payroll &amp; Related Expenses</c:v>
                </c:pt>
                <c:pt idx="1">
                  <c:v>Heating</c:v>
                </c:pt>
                <c:pt idx="2">
                  <c:v>Electric &amp; Gas </c:v>
                </c:pt>
                <c:pt idx="3">
                  <c:v>Water &amp; Sewer</c:v>
                </c:pt>
                <c:pt idx="4">
                  <c:v>Repairs/Maint./Supplies</c:v>
                </c:pt>
                <c:pt idx="5">
                  <c:v>Other Administrative Expense</c:v>
                </c:pt>
                <c:pt idx="6">
                  <c:v>Professional Fees</c:v>
                </c:pt>
                <c:pt idx="7">
                  <c:v>Insurance</c:v>
                </c:pt>
                <c:pt idx="8">
                  <c:v>Management Fees</c:v>
                </c:pt>
                <c:pt idx="9">
                  <c:v>Corporate Taxes</c:v>
                </c:pt>
              </c:strCache>
            </c:strRef>
          </c:cat>
          <c:val>
            <c:numRef>
              <c:f>budget!$C$70:$C$79</c:f>
              <c:numCache>
                <c:formatCode>"$"#,##0_);\("$"#,##0\)</c:formatCode>
                <c:ptCount val="10"/>
                <c:pt idx="0">
                  <c:v>241803.41279999993</c:v>
                </c:pt>
                <c:pt idx="1">
                  <c:v>12768.224235590755</c:v>
                </c:pt>
                <c:pt idx="2">
                  <c:v>43544.186078053172</c:v>
                </c:pt>
                <c:pt idx="3">
                  <c:v>4536.2436953807737</c:v>
                </c:pt>
                <c:pt idx="4">
                  <c:v>41000</c:v>
                </c:pt>
                <c:pt idx="5">
                  <c:v>11620</c:v>
                </c:pt>
                <c:pt idx="6">
                  <c:v>8420</c:v>
                </c:pt>
                <c:pt idx="7">
                  <c:v>12235.34</c:v>
                </c:pt>
                <c:pt idx="8">
                  <c:v>24000</c:v>
                </c:pt>
                <c:pt idx="9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E2-4F70-9311-E79375B70B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464549</xdr:colOff>
      <xdr:row>21</xdr:row>
      <xdr:rowOff>161446</xdr:rowOff>
    </xdr:from>
    <xdr:ext cx="4390105" cy="933207"/>
    <xdr:sp macro="" textlink="">
      <xdr:nvSpPr>
        <xdr:cNvPr id="2" name="Rectangle 1"/>
        <xdr:cNvSpPr/>
      </xdr:nvSpPr>
      <xdr:spPr>
        <a:xfrm rot="18995909">
          <a:off x="1159874" y="4952521"/>
          <a:ext cx="4390105" cy="93320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endParaRPr lang="en-US" sz="5400" b="1" cap="none" spc="0">
            <a:ln w="50800"/>
            <a:solidFill>
              <a:schemeClr val="bg2">
                <a:lumMod val="90000"/>
              </a:schemeClr>
            </a:solidFill>
            <a:effectLst>
              <a:outerShdw blurRad="50800" dist="50800" dir="5400000" algn="ctr" rotWithShape="0">
                <a:schemeClr val="bg1">
                  <a:lumMod val="95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0372" cy="58330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%20Budgets/628%20Milan%20Condo%202013%201st%20Dra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calations/Nicole%20Escalations%202003-2004/Retax03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eorge%20K/Chart%20Of%20Ac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COV"/>
      <sheetName val="contents"/>
      <sheetName val="2013 bud"/>
      <sheetName val="yrlycomp"/>
      <sheetName val="income"/>
      <sheetName val="Chart2"/>
      <sheetName val="Payroll"/>
      <sheetName val="Heat"/>
      <sheetName val="Electric "/>
      <sheetName val="Cooking Gas"/>
      <sheetName val="other"/>
      <sheetName val="Ins. , Mgmt Fee,  Corp Tax"/>
      <sheetName val="wtrswr-new"/>
      <sheetName val="retax1-new"/>
      <sheetName val="mtg"/>
      <sheetName val="CAP"/>
      <sheetName val="maint proof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"/>
    </sheetNames>
    <sheetDataSet>
      <sheetData sheetId="0">
        <row r="7">
          <cell r="A7">
            <v>562</v>
          </cell>
          <cell r="B7">
            <v>36</v>
          </cell>
          <cell r="C7" t="str">
            <v>Manhattan</v>
          </cell>
          <cell r="D7">
            <v>9</v>
          </cell>
          <cell r="E7">
            <v>64</v>
          </cell>
          <cell r="F7" t="str">
            <v>Rockrose Development Corp</v>
          </cell>
          <cell r="G7" t="str">
            <v>43 East 10th Street</v>
          </cell>
          <cell r="H7" t="str">
            <v>--</v>
          </cell>
          <cell r="I7">
            <v>48763</v>
          </cell>
          <cell r="J7">
            <v>0.02</v>
          </cell>
          <cell r="K7" t="str">
            <v>Annual</v>
          </cell>
          <cell r="N7">
            <v>-48763</v>
          </cell>
        </row>
        <row r="8">
          <cell r="A8">
            <v>1869</v>
          </cell>
          <cell r="B8">
            <v>1007</v>
          </cell>
          <cell r="C8" t="str">
            <v>Manhattan</v>
          </cell>
          <cell r="D8">
            <v>76</v>
          </cell>
          <cell r="E8">
            <v>70</v>
          </cell>
          <cell r="F8" t="str">
            <v>Carnegie Press</v>
          </cell>
          <cell r="G8" t="str">
            <v>229 West 97th St</v>
          </cell>
          <cell r="N8">
            <v>0</v>
          </cell>
        </row>
        <row r="9">
          <cell r="A9">
            <v>454</v>
          </cell>
          <cell r="B9">
            <v>1</v>
          </cell>
          <cell r="C9" t="str">
            <v>Manhattan</v>
          </cell>
          <cell r="D9">
            <v>38</v>
          </cell>
          <cell r="E9">
            <v>37</v>
          </cell>
          <cell r="F9" t="str">
            <v>Mie Japanese Restaurant</v>
          </cell>
          <cell r="G9" t="str">
            <v>196 Second Avenue</v>
          </cell>
          <cell r="H9" t="str">
            <v>1985/1986</v>
          </cell>
          <cell r="I9">
            <v>21960</v>
          </cell>
          <cell r="J9">
            <v>0.1</v>
          </cell>
          <cell r="N9">
            <v>-21960</v>
          </cell>
        </row>
        <row r="10">
          <cell r="A10">
            <v>1041</v>
          </cell>
          <cell r="B10">
            <v>19</v>
          </cell>
          <cell r="C10" t="str">
            <v>Manhattan</v>
          </cell>
          <cell r="D10">
            <v>31</v>
          </cell>
          <cell r="E10">
            <v>112</v>
          </cell>
          <cell r="F10" t="str">
            <v>311 Parking Corp</v>
          </cell>
          <cell r="G10" t="str">
            <v>311 W 50th Street</v>
          </cell>
          <cell r="N10">
            <v>0</v>
          </cell>
        </row>
        <row r="13">
          <cell r="C13" t="str">
            <v>Second Partition</v>
          </cell>
        </row>
        <row r="15">
          <cell r="A15">
            <v>1586</v>
          </cell>
          <cell r="B15" t="str">
            <v>5/35/43</v>
          </cell>
          <cell r="C15" t="str">
            <v>Manhattan</v>
          </cell>
          <cell r="D15">
            <v>102</v>
          </cell>
          <cell r="E15">
            <v>285</v>
          </cell>
          <cell r="F15" t="str">
            <v>John T. Paoletti</v>
          </cell>
          <cell r="G15" t="str">
            <v>515/525 East 89th St</v>
          </cell>
          <cell r="N15">
            <v>0</v>
          </cell>
        </row>
        <row r="16">
          <cell r="A16">
            <v>1144</v>
          </cell>
          <cell r="B16">
            <v>24</v>
          </cell>
          <cell r="C16" t="str">
            <v>Manhattan</v>
          </cell>
          <cell r="D16">
            <v>151</v>
          </cell>
          <cell r="E16">
            <v>10</v>
          </cell>
          <cell r="F16" t="str">
            <v>Walber 72nd Street Associates</v>
          </cell>
          <cell r="G16" t="str">
            <v>121 W 72nd ST Owners Corp</v>
          </cell>
          <cell r="H16" t="str">
            <v>2002/2003</v>
          </cell>
          <cell r="I16">
            <v>170916.12</v>
          </cell>
          <cell r="J16">
            <v>0.05</v>
          </cell>
          <cell r="K16" t="str">
            <v>Annual</v>
          </cell>
          <cell r="L16" t="str">
            <v>master 99 year lease</v>
          </cell>
          <cell r="M16">
            <v>214978.2</v>
          </cell>
          <cell r="N16">
            <v>44062.080000000016</v>
          </cell>
        </row>
        <row r="17">
          <cell r="A17">
            <v>161</v>
          </cell>
          <cell r="B17">
            <v>1</v>
          </cell>
          <cell r="C17" t="str">
            <v>Manhattan</v>
          </cell>
          <cell r="D17">
            <v>152</v>
          </cell>
          <cell r="E17">
            <v>130</v>
          </cell>
          <cell r="F17" t="str">
            <v>Dr. Naitan Chu</v>
          </cell>
          <cell r="G17" t="str">
            <v>170 Park Row</v>
          </cell>
          <cell r="H17" t="str">
            <v>1995/1996</v>
          </cell>
          <cell r="I17">
            <v>893848</v>
          </cell>
          <cell r="J17">
            <v>1.4189999999999999E-2</v>
          </cell>
          <cell r="K17" t="str">
            <v>Monthly</v>
          </cell>
          <cell r="L17" t="str">
            <v>Prepared by Accountants</v>
          </cell>
          <cell r="N17">
            <v>-893848</v>
          </cell>
        </row>
        <row r="18">
          <cell r="A18">
            <v>161</v>
          </cell>
          <cell r="B18">
            <v>1</v>
          </cell>
          <cell r="C18" t="str">
            <v>Manhattan</v>
          </cell>
          <cell r="D18">
            <v>152</v>
          </cell>
          <cell r="E18">
            <v>251</v>
          </cell>
          <cell r="F18" t="str">
            <v>Howard Huey</v>
          </cell>
          <cell r="G18" t="str">
            <v>180 Park Row</v>
          </cell>
          <cell r="H18" t="str">
            <v>1987/1988</v>
          </cell>
          <cell r="I18">
            <v>393227</v>
          </cell>
          <cell r="J18">
            <v>1.2211E-2</v>
          </cell>
          <cell r="K18" t="str">
            <v>Monthly</v>
          </cell>
          <cell r="L18" t="str">
            <v>Prepared by Accountants</v>
          </cell>
          <cell r="N18">
            <v>-393227</v>
          </cell>
        </row>
        <row r="19">
          <cell r="A19">
            <v>161</v>
          </cell>
          <cell r="B19">
            <v>1</v>
          </cell>
          <cell r="C19" t="str">
            <v>Manhattan</v>
          </cell>
          <cell r="D19">
            <v>152</v>
          </cell>
          <cell r="E19">
            <v>252</v>
          </cell>
          <cell r="F19" t="str">
            <v>Chatham Towers Dental</v>
          </cell>
          <cell r="G19" t="str">
            <v>180 Park Row</v>
          </cell>
          <cell r="H19" t="str">
            <v>1991/1992</v>
          </cell>
          <cell r="I19">
            <v>807112</v>
          </cell>
          <cell r="J19">
            <v>2.0365999999999999E-2</v>
          </cell>
          <cell r="K19" t="str">
            <v>Monthly</v>
          </cell>
          <cell r="L19" t="str">
            <v>Prepared by Accountants</v>
          </cell>
          <cell r="N19">
            <v>-807112</v>
          </cell>
        </row>
        <row r="20">
          <cell r="A20">
            <v>161</v>
          </cell>
          <cell r="B20">
            <v>1</v>
          </cell>
          <cell r="C20" t="str">
            <v>Manhattan</v>
          </cell>
          <cell r="D20">
            <v>152</v>
          </cell>
          <cell r="E20">
            <v>253</v>
          </cell>
          <cell r="F20" t="str">
            <v>Chatham Parking Systems</v>
          </cell>
          <cell r="G20" t="str">
            <v>180 Park Row</v>
          </cell>
          <cell r="H20" t="str">
            <v>1986/1987</v>
          </cell>
          <cell r="I20">
            <v>368224</v>
          </cell>
          <cell r="J20">
            <v>0.04</v>
          </cell>
          <cell r="K20" t="str">
            <v>Monthly</v>
          </cell>
          <cell r="L20" t="str">
            <v>Prepared by Accountants</v>
          </cell>
          <cell r="N20">
            <v>-368224</v>
          </cell>
        </row>
        <row r="21">
          <cell r="A21">
            <v>916</v>
          </cell>
          <cell r="B21">
            <v>61</v>
          </cell>
          <cell r="C21" t="str">
            <v>Manhattan</v>
          </cell>
          <cell r="D21">
            <v>157</v>
          </cell>
          <cell r="E21">
            <v>159</v>
          </cell>
          <cell r="F21" t="str">
            <v>Bargold Storage Systems</v>
          </cell>
          <cell r="G21" t="str">
            <v>200 East 36th Street</v>
          </cell>
          <cell r="L21" t="str">
            <v>N/A</v>
          </cell>
          <cell r="N21">
            <v>0</v>
          </cell>
        </row>
        <row r="22">
          <cell r="A22">
            <v>916</v>
          </cell>
          <cell r="B22">
            <v>61</v>
          </cell>
          <cell r="C22" t="str">
            <v>Manhattan</v>
          </cell>
          <cell r="D22">
            <v>157</v>
          </cell>
          <cell r="E22">
            <v>160</v>
          </cell>
          <cell r="F22" t="str">
            <v>Or-brand Inc.</v>
          </cell>
          <cell r="G22" t="str">
            <v>200 East 36th Street</v>
          </cell>
          <cell r="H22" t="str">
            <v>1986/1987</v>
          </cell>
          <cell r="I22">
            <v>395000</v>
          </cell>
          <cell r="J22">
            <v>1.4999999999999999E-2</v>
          </cell>
          <cell r="L22" t="str">
            <v>N/A</v>
          </cell>
          <cell r="N22">
            <v>-395000</v>
          </cell>
        </row>
        <row r="23">
          <cell r="A23">
            <v>916</v>
          </cell>
          <cell r="B23">
            <v>61</v>
          </cell>
          <cell r="C23" t="str">
            <v>Manhattan</v>
          </cell>
          <cell r="D23">
            <v>157</v>
          </cell>
          <cell r="E23">
            <v>161</v>
          </cell>
          <cell r="F23" t="str">
            <v>Quark Inc.</v>
          </cell>
          <cell r="G23" t="str">
            <v>200 East 36th Street</v>
          </cell>
          <cell r="H23" t="str">
            <v>99/00</v>
          </cell>
          <cell r="I23">
            <v>417678.76</v>
          </cell>
          <cell r="J23">
            <v>1.0999999999999999E-2</v>
          </cell>
          <cell r="K23" t="str">
            <v>Annual</v>
          </cell>
          <cell r="M23">
            <v>614948.36</v>
          </cell>
          <cell r="N23">
            <v>197269.59999999998</v>
          </cell>
        </row>
        <row r="24">
          <cell r="A24">
            <v>916</v>
          </cell>
          <cell r="B24">
            <v>61</v>
          </cell>
          <cell r="C24" t="str">
            <v>Manhattan</v>
          </cell>
          <cell r="D24">
            <v>157</v>
          </cell>
          <cell r="E24">
            <v>162</v>
          </cell>
          <cell r="F24" t="str">
            <v>Quark Inc.</v>
          </cell>
          <cell r="G24" t="str">
            <v>200 East 36th Street</v>
          </cell>
          <cell r="H24" t="str">
            <v>94/95</v>
          </cell>
          <cell r="I24">
            <v>327915</v>
          </cell>
          <cell r="J24">
            <v>3.0000000000000001E-3</v>
          </cell>
          <cell r="K24" t="str">
            <v>Annual</v>
          </cell>
          <cell r="M24">
            <v>614948.36</v>
          </cell>
          <cell r="N24">
            <v>287033.36</v>
          </cell>
        </row>
        <row r="25">
          <cell r="A25">
            <v>916</v>
          </cell>
          <cell r="B25">
            <v>61</v>
          </cell>
          <cell r="C25" t="str">
            <v>Manhattan</v>
          </cell>
          <cell r="D25">
            <v>157</v>
          </cell>
          <cell r="E25">
            <v>163</v>
          </cell>
          <cell r="F25" t="str">
            <v>Antiques Source Showroom</v>
          </cell>
          <cell r="G25" t="str">
            <v>200 East 36th Street</v>
          </cell>
          <cell r="H25" t="str">
            <v>2001/2002</v>
          </cell>
          <cell r="I25">
            <v>466636.64</v>
          </cell>
          <cell r="J25">
            <v>8.5000000000000006E-2</v>
          </cell>
          <cell r="K25" t="str">
            <v>Annual</v>
          </cell>
          <cell r="N25">
            <v>-466636.64</v>
          </cell>
        </row>
        <row r="26">
          <cell r="A26">
            <v>916</v>
          </cell>
          <cell r="B26">
            <v>61</v>
          </cell>
          <cell r="C26" t="str">
            <v>Manhattan</v>
          </cell>
          <cell r="D26">
            <v>157</v>
          </cell>
          <cell r="E26">
            <v>164</v>
          </cell>
          <cell r="F26" t="str">
            <v>Murray Hill Chemist-FORMER 9/30/02</v>
          </cell>
          <cell r="G26" t="str">
            <v>200 East 36th Street</v>
          </cell>
          <cell r="H26" t="str">
            <v>2001/2002</v>
          </cell>
          <cell r="I26">
            <v>466636.64</v>
          </cell>
          <cell r="J26">
            <v>0.15</v>
          </cell>
          <cell r="K26" t="str">
            <v>Annual</v>
          </cell>
          <cell r="L26" t="str">
            <v>FORMER AS OF 9/30/02-BILLED wrong base</v>
          </cell>
          <cell r="N26">
            <v>-466636.64</v>
          </cell>
        </row>
        <row r="27">
          <cell r="A27">
            <v>916</v>
          </cell>
          <cell r="B27">
            <v>61</v>
          </cell>
          <cell r="C27" t="str">
            <v>Manhattan</v>
          </cell>
          <cell r="D27">
            <v>157</v>
          </cell>
          <cell r="E27">
            <v>164</v>
          </cell>
          <cell r="F27" t="str">
            <v>Murray Hill Chemist-FORMER 9/30/02</v>
          </cell>
          <cell r="G27" t="str">
            <v>200 East 36th Street</v>
          </cell>
          <cell r="H27" t="str">
            <v>2001/2002</v>
          </cell>
          <cell r="I27">
            <v>382327</v>
          </cell>
          <cell r="J27">
            <v>0.04</v>
          </cell>
          <cell r="K27" t="str">
            <v>Annual</v>
          </cell>
          <cell r="L27" t="str">
            <v>FORMER AS OF 9/30/02-BILLED WRONG @15%</v>
          </cell>
          <cell r="N27">
            <v>-382327</v>
          </cell>
        </row>
        <row r="28">
          <cell r="A28">
            <v>916</v>
          </cell>
          <cell r="B28">
            <v>61</v>
          </cell>
          <cell r="C28" t="str">
            <v>Manhattan</v>
          </cell>
          <cell r="D28">
            <v>157</v>
          </cell>
          <cell r="E28">
            <v>164</v>
          </cell>
          <cell r="F28" t="str">
            <v>NY Warehouse, Inc. new 10/1/02</v>
          </cell>
          <cell r="G28" t="str">
            <v>200 East 36th Street</v>
          </cell>
          <cell r="H28" t="str">
            <v>02/03</v>
          </cell>
          <cell r="I28">
            <v>504646.52</v>
          </cell>
          <cell r="J28">
            <v>0.04</v>
          </cell>
          <cell r="N28">
            <v>-504646.52</v>
          </cell>
        </row>
        <row r="29">
          <cell r="A29">
            <v>916</v>
          </cell>
          <cell r="B29">
            <v>61</v>
          </cell>
          <cell r="C29" t="str">
            <v>Manhattan</v>
          </cell>
          <cell r="D29">
            <v>157</v>
          </cell>
          <cell r="E29">
            <v>165</v>
          </cell>
          <cell r="F29" t="str">
            <v>Andrea Shoe Repair</v>
          </cell>
          <cell r="G29" t="str">
            <v>200 East 36th Street</v>
          </cell>
          <cell r="H29" t="str">
            <v>2001/2002</v>
          </cell>
          <cell r="I29">
            <v>466636.64</v>
          </cell>
          <cell r="J29">
            <v>0.04</v>
          </cell>
          <cell r="K29" t="str">
            <v>Annual</v>
          </cell>
          <cell r="L29" t="str">
            <v>gross base year</v>
          </cell>
          <cell r="N29">
            <v>-466636.64</v>
          </cell>
        </row>
        <row r="30">
          <cell r="A30">
            <v>916</v>
          </cell>
          <cell r="B30">
            <v>61</v>
          </cell>
          <cell r="C30" t="str">
            <v>Manhattan</v>
          </cell>
          <cell r="D30">
            <v>157</v>
          </cell>
          <cell r="E30">
            <v>165</v>
          </cell>
          <cell r="F30" t="str">
            <v>Andrea Shoe Repair</v>
          </cell>
          <cell r="G30" t="str">
            <v>200 East 36th Street</v>
          </cell>
          <cell r="H30" t="str">
            <v>2001/2002</v>
          </cell>
          <cell r="I30">
            <v>382327</v>
          </cell>
          <cell r="J30">
            <v>0.04</v>
          </cell>
          <cell r="K30" t="str">
            <v>Annual</v>
          </cell>
          <cell r="L30" t="str">
            <v>net base year</v>
          </cell>
          <cell r="N30">
            <v>-382327</v>
          </cell>
        </row>
        <row r="31">
          <cell r="A31">
            <v>64</v>
          </cell>
          <cell r="B31">
            <v>8</v>
          </cell>
          <cell r="C31" t="str">
            <v>Manhattan</v>
          </cell>
          <cell r="D31">
            <v>159</v>
          </cell>
          <cell r="E31">
            <v>92</v>
          </cell>
          <cell r="F31" t="str">
            <v>Sutton Investments Ltd</v>
          </cell>
          <cell r="G31" t="str">
            <v>55 Liberty Street</v>
          </cell>
          <cell r="N31">
            <v>0</v>
          </cell>
        </row>
        <row r="32">
          <cell r="A32">
            <v>1390</v>
          </cell>
          <cell r="B32">
            <v>23</v>
          </cell>
          <cell r="C32" t="str">
            <v>Manhattan</v>
          </cell>
          <cell r="D32">
            <v>186</v>
          </cell>
          <cell r="E32">
            <v>86</v>
          </cell>
          <cell r="F32" t="str">
            <v>SGA Madison Realty LLC</v>
          </cell>
          <cell r="G32" t="str">
            <v>35 East 75th Street</v>
          </cell>
          <cell r="H32" t="str">
            <v>87/88</v>
          </cell>
          <cell r="I32">
            <v>623898.97</v>
          </cell>
          <cell r="J32">
            <v>0.2</v>
          </cell>
          <cell r="K32" t="str">
            <v>monthly</v>
          </cell>
          <cell r="L32" t="str">
            <v>garage retro 10/15/02</v>
          </cell>
          <cell r="M32">
            <v>683906.45</v>
          </cell>
          <cell r="N32">
            <v>60007.479999999981</v>
          </cell>
        </row>
        <row r="33">
          <cell r="A33">
            <v>1390</v>
          </cell>
          <cell r="B33">
            <v>23</v>
          </cell>
          <cell r="C33" t="str">
            <v>Manhattan</v>
          </cell>
          <cell r="D33">
            <v>186</v>
          </cell>
          <cell r="E33">
            <v>86</v>
          </cell>
          <cell r="F33" t="str">
            <v>RAPID 75</v>
          </cell>
          <cell r="G33" t="str">
            <v>35 East 75th Street</v>
          </cell>
          <cell r="L33" t="str">
            <v>not billed R/E T only BID</v>
          </cell>
          <cell r="N33">
            <v>0</v>
          </cell>
        </row>
        <row r="34">
          <cell r="A34">
            <v>1407</v>
          </cell>
          <cell r="B34">
            <v>33</v>
          </cell>
          <cell r="C34" t="str">
            <v>Manhattan</v>
          </cell>
          <cell r="D34">
            <v>187</v>
          </cell>
          <cell r="E34">
            <v>194</v>
          </cell>
          <cell r="F34" t="str">
            <v>Kinney System Inc</v>
          </cell>
          <cell r="G34" t="str">
            <v>165 East 72nd Street</v>
          </cell>
          <cell r="L34" t="str">
            <v>per Joe Scholes-no r/e tax esc</v>
          </cell>
          <cell r="N34">
            <v>0</v>
          </cell>
        </row>
        <row r="35">
          <cell r="A35">
            <v>1407</v>
          </cell>
          <cell r="B35">
            <v>33</v>
          </cell>
          <cell r="C35" t="str">
            <v>Manhattan</v>
          </cell>
          <cell r="D35">
            <v>187</v>
          </cell>
          <cell r="E35">
            <v>195</v>
          </cell>
          <cell r="F35" t="str">
            <v>Cellco Partnership verizon</v>
          </cell>
          <cell r="G35" t="str">
            <v>165 East 72nd Street</v>
          </cell>
          <cell r="H35" t="str">
            <v>96/97</v>
          </cell>
          <cell r="I35">
            <v>1280666</v>
          </cell>
          <cell r="J35">
            <v>1.4999999999999999E-2</v>
          </cell>
          <cell r="K35" t="str">
            <v>Annual</v>
          </cell>
          <cell r="N35">
            <v>-1280666</v>
          </cell>
        </row>
        <row r="36">
          <cell r="A36">
            <v>1407</v>
          </cell>
          <cell r="B36">
            <v>33</v>
          </cell>
          <cell r="C36" t="str">
            <v>Manhattan</v>
          </cell>
          <cell r="D36">
            <v>187</v>
          </cell>
          <cell r="E36">
            <v>196</v>
          </cell>
          <cell r="F36" t="str">
            <v>Leonard Poll Opticians</v>
          </cell>
          <cell r="G36" t="str">
            <v>165 East 72nd Street</v>
          </cell>
          <cell r="H36" t="str">
            <v>97/98</v>
          </cell>
          <cell r="I36">
            <v>1282490</v>
          </cell>
          <cell r="J36">
            <v>0.01</v>
          </cell>
          <cell r="K36" t="str">
            <v>Annual</v>
          </cell>
          <cell r="N36">
            <v>-1282490</v>
          </cell>
        </row>
        <row r="37">
          <cell r="A37">
            <v>1407</v>
          </cell>
          <cell r="B37">
            <v>33</v>
          </cell>
          <cell r="C37" t="str">
            <v>Manhattan</v>
          </cell>
          <cell r="D37">
            <v>187</v>
          </cell>
          <cell r="E37">
            <v>198</v>
          </cell>
          <cell r="F37" t="str">
            <v>Hickey Chemist III LTD</v>
          </cell>
          <cell r="G37" t="str">
            <v>165 East 72nd Street</v>
          </cell>
          <cell r="H37" t="str">
            <v>96/97</v>
          </cell>
          <cell r="I37">
            <v>1280666</v>
          </cell>
          <cell r="J37">
            <v>1.7399999999999999E-2</v>
          </cell>
          <cell r="K37" t="str">
            <v>Annual</v>
          </cell>
          <cell r="N37">
            <v>-1280666</v>
          </cell>
        </row>
        <row r="38">
          <cell r="A38">
            <v>1407</v>
          </cell>
          <cell r="B38">
            <v>33</v>
          </cell>
          <cell r="C38" t="str">
            <v>Manhattan</v>
          </cell>
          <cell r="D38">
            <v>187</v>
          </cell>
          <cell r="E38">
            <v>199</v>
          </cell>
          <cell r="F38" t="str">
            <v>Citibank NA</v>
          </cell>
          <cell r="G38" t="str">
            <v>165 East 72nd Street</v>
          </cell>
          <cell r="L38" t="str">
            <v>per Joe Scholes-no r/e tax esc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coa_20130129"/>
    </sheetNames>
    <sheetDataSet>
      <sheetData sheetId="0">
        <row r="273">
          <cell r="C273" t="str">
            <v xml:space="preserve">CONTRACT - WINDOW CLEANING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6"/>
  <sheetViews>
    <sheetView zoomScale="87" zoomScaleNormal="87" workbookViewId="0">
      <pane ySplit="6" topLeftCell="A211" activePane="bottomLeft" state="frozen"/>
      <selection pane="bottomLeft" activeCell="A6" sqref="A6"/>
    </sheetView>
  </sheetViews>
  <sheetFormatPr defaultRowHeight="15"/>
  <cols>
    <col min="1" max="1" width="5" customWidth="1"/>
    <col min="2" max="2" width="5.6640625" style="89" customWidth="1"/>
    <col min="3" max="3" width="25.88671875" style="104" bestFit="1" customWidth="1"/>
    <col min="4" max="4" width="10.77734375" style="104" customWidth="1"/>
    <col min="5" max="6" width="7.6640625" style="73" customWidth="1"/>
    <col min="7" max="17" width="9.109375" style="73" bestFit="1" customWidth="1"/>
    <col min="18" max="18" width="10.5546875" style="73" bestFit="1" customWidth="1"/>
    <col min="19" max="19" width="8.44140625" style="73" bestFit="1" customWidth="1"/>
  </cols>
  <sheetData>
    <row r="1" spans="1:20">
      <c r="A1" s="530" t="s">
        <v>489</v>
      </c>
      <c r="B1" s="530" t="s">
        <v>490</v>
      </c>
      <c r="C1" s="530" t="s">
        <v>491</v>
      </c>
      <c r="D1" s="531"/>
      <c r="E1" s="532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20">
      <c r="A2" s="530"/>
      <c r="B2" s="530"/>
      <c r="C2" s="530"/>
      <c r="D2" s="531"/>
      <c r="E2" s="532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20">
      <c r="A3" s="530"/>
      <c r="B3" s="533"/>
      <c r="C3" s="530" t="s">
        <v>492</v>
      </c>
      <c r="D3" s="531"/>
      <c r="E3" s="532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</row>
    <row r="4" spans="1:20">
      <c r="A4" s="530" t="s">
        <v>493</v>
      </c>
      <c r="B4" s="530"/>
      <c r="C4" s="530" t="s">
        <v>494</v>
      </c>
      <c r="D4" s="531"/>
      <c r="E4" s="532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</row>
    <row r="5" spans="1:20" ht="15.75">
      <c r="A5" s="530" t="s">
        <v>495</v>
      </c>
      <c r="B5" s="534">
        <v>201501</v>
      </c>
      <c r="C5" s="530" t="s">
        <v>496</v>
      </c>
      <c r="D5" s="531" t="s">
        <v>497</v>
      </c>
      <c r="E5" s="532"/>
      <c r="F5" s="353" t="s">
        <v>498</v>
      </c>
      <c r="G5" s="353" t="s">
        <v>498</v>
      </c>
      <c r="H5" s="353" t="s">
        <v>498</v>
      </c>
      <c r="I5" s="353" t="s">
        <v>498</v>
      </c>
      <c r="J5" s="353" t="s">
        <v>498</v>
      </c>
      <c r="K5" s="353" t="s">
        <v>498</v>
      </c>
      <c r="L5" s="353" t="s">
        <v>498</v>
      </c>
      <c r="M5" s="353" t="s">
        <v>498</v>
      </c>
      <c r="N5" s="353" t="s">
        <v>498</v>
      </c>
      <c r="O5" s="353" t="s">
        <v>498</v>
      </c>
      <c r="P5" s="353" t="s">
        <v>498</v>
      </c>
      <c r="Q5" s="353" t="s">
        <v>498</v>
      </c>
      <c r="R5" s="353"/>
      <c r="S5" s="102"/>
    </row>
    <row r="6" spans="1:20">
      <c r="A6" s="530" t="s">
        <v>499</v>
      </c>
      <c r="B6" s="530" t="s">
        <v>463</v>
      </c>
      <c r="C6" s="530" t="s">
        <v>500</v>
      </c>
      <c r="D6" s="531" t="s">
        <v>501</v>
      </c>
      <c r="E6" s="532" t="s">
        <v>502</v>
      </c>
      <c r="F6" s="353" t="s">
        <v>503</v>
      </c>
      <c r="G6" s="353" t="s">
        <v>504</v>
      </c>
      <c r="H6" s="353" t="s">
        <v>505</v>
      </c>
      <c r="I6" s="353" t="s">
        <v>506</v>
      </c>
      <c r="J6" s="353" t="s">
        <v>507</v>
      </c>
      <c r="K6" s="353" t="s">
        <v>508</v>
      </c>
      <c r="L6" s="353" t="s">
        <v>509</v>
      </c>
      <c r="M6" s="353" t="s">
        <v>510</v>
      </c>
      <c r="N6" s="353" t="s">
        <v>511</v>
      </c>
      <c r="O6" s="353" t="s">
        <v>512</v>
      </c>
      <c r="P6" s="353" t="s">
        <v>513</v>
      </c>
      <c r="Q6" s="353" t="s">
        <v>514</v>
      </c>
      <c r="R6" s="353" t="s">
        <v>515</v>
      </c>
      <c r="S6" s="102" t="s">
        <v>94</v>
      </c>
    </row>
    <row r="7" spans="1:20">
      <c r="A7" s="173">
        <v>777</v>
      </c>
      <c r="B7" s="112">
        <v>4000</v>
      </c>
      <c r="C7" s="113" t="s">
        <v>95</v>
      </c>
      <c r="D7" s="113">
        <v>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>
        <f t="shared" ref="R7:R70" si="0">SUM(F7:Q7)</f>
        <v>0</v>
      </c>
      <c r="S7" s="106">
        <f t="shared" ref="S7:S69" si="1">+E7-R7</f>
        <v>0</v>
      </c>
      <c r="T7" s="107"/>
    </row>
    <row r="8" spans="1:20" s="541" customFormat="1">
      <c r="A8" s="536">
        <f>+A7</f>
        <v>777</v>
      </c>
      <c r="B8" s="537">
        <v>4001</v>
      </c>
      <c r="C8" s="538" t="s">
        <v>96</v>
      </c>
      <c r="D8" s="538">
        <v>0</v>
      </c>
      <c r="E8" s="535">
        <f>ROUND(-income!F22,2)</f>
        <v>-441877.34</v>
      </c>
      <c r="F8" s="539">
        <f>+$E$8/12</f>
        <v>-36823.111666666671</v>
      </c>
      <c r="G8" s="539">
        <f t="shared" ref="G8:Q8" si="2">+$E$8/12</f>
        <v>-36823.111666666671</v>
      </c>
      <c r="H8" s="539">
        <f t="shared" si="2"/>
        <v>-36823.111666666671</v>
      </c>
      <c r="I8" s="539">
        <f>+$E$8/12</f>
        <v>-36823.111666666671</v>
      </c>
      <c r="J8" s="539">
        <f t="shared" si="2"/>
        <v>-36823.111666666671</v>
      </c>
      <c r="K8" s="539">
        <f t="shared" si="2"/>
        <v>-36823.111666666671</v>
      </c>
      <c r="L8" s="539">
        <f t="shared" si="2"/>
        <v>-36823.111666666671</v>
      </c>
      <c r="M8" s="539">
        <f t="shared" si="2"/>
        <v>-36823.111666666671</v>
      </c>
      <c r="N8" s="539">
        <f t="shared" si="2"/>
        <v>-36823.111666666671</v>
      </c>
      <c r="O8" s="539">
        <f t="shared" si="2"/>
        <v>-36823.111666666671</v>
      </c>
      <c r="P8" s="539">
        <f t="shared" si="2"/>
        <v>-36823.111666666671</v>
      </c>
      <c r="Q8" s="539">
        <f t="shared" si="2"/>
        <v>-36823.111666666671</v>
      </c>
      <c r="R8" s="535">
        <f t="shared" si="0"/>
        <v>-441877.34000000014</v>
      </c>
      <c r="S8" s="535">
        <f t="shared" si="1"/>
        <v>0</v>
      </c>
      <c r="T8" s="540"/>
    </row>
    <row r="9" spans="1:20">
      <c r="A9" s="174">
        <f t="shared" ref="A9:A72" si="3">+A8</f>
        <v>777</v>
      </c>
      <c r="B9" s="112">
        <v>4003</v>
      </c>
      <c r="C9" s="113" t="s">
        <v>97</v>
      </c>
      <c r="D9" s="113">
        <v>0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>
        <f t="shared" si="0"/>
        <v>0</v>
      </c>
      <c r="S9" s="109">
        <f t="shared" si="1"/>
        <v>0</v>
      </c>
      <c r="T9" s="107"/>
    </row>
    <row r="10" spans="1:20">
      <c r="A10" s="174">
        <f t="shared" si="3"/>
        <v>777</v>
      </c>
      <c r="B10" s="112">
        <v>4010</v>
      </c>
      <c r="C10" s="113" t="s">
        <v>98</v>
      </c>
      <c r="D10" s="113">
        <v>0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>
        <f t="shared" si="0"/>
        <v>0</v>
      </c>
      <c r="S10" s="109">
        <f t="shared" si="1"/>
        <v>0</v>
      </c>
      <c r="T10" s="107"/>
    </row>
    <row r="11" spans="1:20">
      <c r="A11" s="174">
        <f t="shared" si="3"/>
        <v>777</v>
      </c>
      <c r="B11" s="112">
        <v>4020</v>
      </c>
      <c r="C11" s="113" t="s">
        <v>99</v>
      </c>
      <c r="D11" s="113">
        <v>0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>
        <f t="shared" si="0"/>
        <v>0</v>
      </c>
      <c r="S11" s="109">
        <f t="shared" si="1"/>
        <v>0</v>
      </c>
      <c r="T11" s="107"/>
    </row>
    <row r="12" spans="1:20">
      <c r="A12" s="174">
        <f t="shared" si="3"/>
        <v>777</v>
      </c>
      <c r="B12" s="112">
        <v>4030</v>
      </c>
      <c r="C12" s="113" t="s">
        <v>100</v>
      </c>
      <c r="D12" s="113">
        <v>0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>
        <f t="shared" si="0"/>
        <v>0</v>
      </c>
      <c r="S12" s="109">
        <f t="shared" si="1"/>
        <v>0</v>
      </c>
      <c r="T12" s="107"/>
    </row>
    <row r="13" spans="1:20">
      <c r="A13" s="174">
        <f t="shared" si="3"/>
        <v>777</v>
      </c>
      <c r="B13" s="112">
        <v>4031</v>
      </c>
      <c r="C13" s="113" t="s">
        <v>101</v>
      </c>
      <c r="D13" s="113">
        <v>0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>
        <f t="shared" si="0"/>
        <v>0</v>
      </c>
      <c r="S13" s="109">
        <f t="shared" si="1"/>
        <v>0</v>
      </c>
      <c r="T13" s="107"/>
    </row>
    <row r="14" spans="1:20">
      <c r="A14" s="174">
        <f t="shared" si="3"/>
        <v>777</v>
      </c>
      <c r="B14" s="112">
        <v>4035</v>
      </c>
      <c r="C14" s="113" t="s">
        <v>102</v>
      </c>
      <c r="D14" s="113">
        <v>0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>
        <f t="shared" si="0"/>
        <v>0</v>
      </c>
      <c r="S14" s="109">
        <f t="shared" si="1"/>
        <v>0</v>
      </c>
      <c r="T14" s="107"/>
    </row>
    <row r="15" spans="1:20">
      <c r="A15" s="174">
        <f t="shared" si="3"/>
        <v>777</v>
      </c>
      <c r="B15" s="112">
        <v>4040</v>
      </c>
      <c r="C15" s="113" t="s">
        <v>103</v>
      </c>
      <c r="D15" s="113">
        <v>0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>
        <f t="shared" si="0"/>
        <v>0</v>
      </c>
      <c r="S15" s="109">
        <f t="shared" si="1"/>
        <v>0</v>
      </c>
      <c r="T15" s="107"/>
    </row>
    <row r="16" spans="1:20">
      <c r="A16" s="174">
        <f t="shared" si="3"/>
        <v>777</v>
      </c>
      <c r="B16" s="112">
        <v>4045</v>
      </c>
      <c r="C16" s="113" t="s">
        <v>104</v>
      </c>
      <c r="D16" s="113">
        <v>0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>
        <f t="shared" si="0"/>
        <v>0</v>
      </c>
      <c r="S16" s="109">
        <f t="shared" si="1"/>
        <v>0</v>
      </c>
      <c r="T16" s="107"/>
    </row>
    <row r="17" spans="1:20">
      <c r="A17" s="174">
        <f t="shared" si="3"/>
        <v>777</v>
      </c>
      <c r="B17" s="112">
        <v>4050</v>
      </c>
      <c r="C17" s="113" t="s">
        <v>105</v>
      </c>
      <c r="D17" s="113">
        <v>0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>
        <f t="shared" si="0"/>
        <v>0</v>
      </c>
      <c r="S17" s="109">
        <f t="shared" si="1"/>
        <v>0</v>
      </c>
      <c r="T17" s="107"/>
    </row>
    <row r="18" spans="1:20">
      <c r="A18" s="174">
        <f t="shared" si="3"/>
        <v>777</v>
      </c>
      <c r="B18" s="112">
        <v>4052</v>
      </c>
      <c r="C18" s="113" t="s">
        <v>106</v>
      </c>
      <c r="D18" s="113">
        <v>0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>
        <f t="shared" si="0"/>
        <v>0</v>
      </c>
      <c r="S18" s="109">
        <f t="shared" si="1"/>
        <v>0</v>
      </c>
      <c r="T18" s="107"/>
    </row>
    <row r="19" spans="1:20">
      <c r="A19" s="174">
        <f t="shared" si="3"/>
        <v>777</v>
      </c>
      <c r="B19" s="112">
        <v>4053</v>
      </c>
      <c r="C19" s="113" t="s">
        <v>107</v>
      </c>
      <c r="D19" s="113">
        <v>0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>
        <f t="shared" si="0"/>
        <v>0</v>
      </c>
      <c r="S19" s="109">
        <f t="shared" si="1"/>
        <v>0</v>
      </c>
      <c r="T19" s="107"/>
    </row>
    <row r="20" spans="1:20">
      <c r="A20" s="174">
        <f t="shared" si="3"/>
        <v>777</v>
      </c>
      <c r="B20" s="112">
        <v>4100</v>
      </c>
      <c r="C20" s="113" t="s">
        <v>108</v>
      </c>
      <c r="D20" s="113">
        <v>0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>
        <f t="shared" si="0"/>
        <v>0</v>
      </c>
      <c r="S20" s="109">
        <f t="shared" si="1"/>
        <v>0</v>
      </c>
      <c r="T20" s="107"/>
    </row>
    <row r="21" spans="1:20">
      <c r="A21" s="174">
        <f t="shared" si="3"/>
        <v>777</v>
      </c>
      <c r="B21" s="112">
        <v>4101</v>
      </c>
      <c r="C21" s="113" t="s">
        <v>109</v>
      </c>
      <c r="D21" s="113">
        <v>0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>
        <f t="shared" si="0"/>
        <v>0</v>
      </c>
      <c r="S21" s="109">
        <f t="shared" si="1"/>
        <v>0</v>
      </c>
      <c r="T21" s="107"/>
    </row>
    <row r="22" spans="1:20">
      <c r="A22" s="174">
        <f t="shared" si="3"/>
        <v>777</v>
      </c>
      <c r="B22" s="112">
        <v>4110</v>
      </c>
      <c r="C22" s="113" t="s">
        <v>101</v>
      </c>
      <c r="D22" s="113">
        <v>0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>
        <f t="shared" si="0"/>
        <v>0</v>
      </c>
      <c r="S22" s="109">
        <f t="shared" si="1"/>
        <v>0</v>
      </c>
      <c r="T22" s="107"/>
    </row>
    <row r="23" spans="1:20">
      <c r="A23" s="174">
        <f t="shared" si="3"/>
        <v>777</v>
      </c>
      <c r="B23" s="112">
        <v>4115</v>
      </c>
      <c r="C23" s="113" t="s">
        <v>110</v>
      </c>
      <c r="D23" s="113">
        <v>0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>
        <f t="shared" si="0"/>
        <v>0</v>
      </c>
      <c r="S23" s="109">
        <f t="shared" si="1"/>
        <v>0</v>
      </c>
      <c r="T23" s="107"/>
    </row>
    <row r="24" spans="1:20">
      <c r="A24" s="174">
        <f t="shared" si="3"/>
        <v>777</v>
      </c>
      <c r="B24" s="112">
        <v>4116</v>
      </c>
      <c r="C24" s="113" t="s">
        <v>111</v>
      </c>
      <c r="D24" s="113">
        <v>0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>
        <f t="shared" si="0"/>
        <v>0</v>
      </c>
      <c r="S24" s="109">
        <f t="shared" si="1"/>
        <v>0</v>
      </c>
      <c r="T24" s="107"/>
    </row>
    <row r="25" spans="1:20">
      <c r="A25" s="174">
        <f t="shared" si="3"/>
        <v>777</v>
      </c>
      <c r="B25" s="112">
        <v>4120</v>
      </c>
      <c r="C25" s="113" t="s">
        <v>112</v>
      </c>
      <c r="D25" s="113">
        <v>0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>
        <f t="shared" si="0"/>
        <v>0</v>
      </c>
      <c r="S25" s="109">
        <f t="shared" si="1"/>
        <v>0</v>
      </c>
      <c r="T25" s="107"/>
    </row>
    <row r="26" spans="1:20">
      <c r="A26" s="174">
        <f t="shared" si="3"/>
        <v>777</v>
      </c>
      <c r="B26" s="112">
        <v>4155</v>
      </c>
      <c r="C26" s="113" t="s">
        <v>113</v>
      </c>
      <c r="D26" s="113">
        <v>0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>
        <f t="shared" si="0"/>
        <v>0</v>
      </c>
      <c r="S26" s="109">
        <f t="shared" si="1"/>
        <v>0</v>
      </c>
      <c r="T26" s="107"/>
    </row>
    <row r="27" spans="1:20">
      <c r="A27" s="174">
        <f t="shared" si="3"/>
        <v>777</v>
      </c>
      <c r="B27" s="112">
        <v>4200</v>
      </c>
      <c r="C27" s="113" t="s">
        <v>101</v>
      </c>
      <c r="D27" s="113">
        <v>0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>
        <f t="shared" si="0"/>
        <v>0</v>
      </c>
      <c r="S27" s="109">
        <f t="shared" si="1"/>
        <v>0</v>
      </c>
      <c r="T27" s="107"/>
    </row>
    <row r="28" spans="1:20">
      <c r="A28" s="174">
        <f t="shared" si="3"/>
        <v>777</v>
      </c>
      <c r="B28" s="112">
        <v>4205</v>
      </c>
      <c r="C28" s="113" t="s">
        <v>114</v>
      </c>
      <c r="D28" s="113">
        <v>0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>
        <f t="shared" si="0"/>
        <v>0</v>
      </c>
      <c r="S28" s="109">
        <f t="shared" si="1"/>
        <v>0</v>
      </c>
      <c r="T28" s="107"/>
    </row>
    <row r="29" spans="1:20">
      <c r="A29" s="174">
        <f t="shared" si="3"/>
        <v>777</v>
      </c>
      <c r="B29" s="112">
        <v>4210</v>
      </c>
      <c r="C29" s="113" t="s">
        <v>115</v>
      </c>
      <c r="D29" s="113">
        <v>0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>
        <f t="shared" si="0"/>
        <v>0</v>
      </c>
      <c r="S29" s="109">
        <f t="shared" si="1"/>
        <v>0</v>
      </c>
      <c r="T29" s="107"/>
    </row>
    <row r="30" spans="1:20">
      <c r="A30" s="174">
        <f t="shared" si="3"/>
        <v>777</v>
      </c>
      <c r="B30" s="112">
        <v>4215</v>
      </c>
      <c r="C30" s="113" t="s">
        <v>116</v>
      </c>
      <c r="D30" s="113">
        <v>0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>
        <f t="shared" si="0"/>
        <v>0</v>
      </c>
      <c r="S30" s="109">
        <f t="shared" si="1"/>
        <v>0</v>
      </c>
      <c r="T30" s="107"/>
    </row>
    <row r="31" spans="1:20">
      <c r="A31" s="174">
        <f t="shared" si="3"/>
        <v>777</v>
      </c>
      <c r="B31" s="112">
        <v>4220</v>
      </c>
      <c r="C31" s="113" t="s">
        <v>117</v>
      </c>
      <c r="D31" s="113">
        <v>0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>
        <f t="shared" si="0"/>
        <v>0</v>
      </c>
      <c r="S31" s="109">
        <f t="shared" si="1"/>
        <v>0</v>
      </c>
      <c r="T31" s="107"/>
    </row>
    <row r="32" spans="1:20">
      <c r="A32" s="174">
        <f t="shared" si="3"/>
        <v>777</v>
      </c>
      <c r="B32" s="112">
        <v>4221</v>
      </c>
      <c r="C32" s="113" t="s">
        <v>118</v>
      </c>
      <c r="D32" s="113">
        <v>0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>
        <f t="shared" si="0"/>
        <v>0</v>
      </c>
      <c r="S32" s="109">
        <f t="shared" si="1"/>
        <v>0</v>
      </c>
      <c r="T32" s="107"/>
    </row>
    <row r="33" spans="1:20">
      <c r="A33" s="174">
        <f t="shared" si="3"/>
        <v>777</v>
      </c>
      <c r="B33" s="112">
        <v>4225</v>
      </c>
      <c r="C33" s="113" t="s">
        <v>119</v>
      </c>
      <c r="D33" s="113">
        <v>0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>
        <f t="shared" si="0"/>
        <v>0</v>
      </c>
      <c r="S33" s="109">
        <f t="shared" si="1"/>
        <v>0</v>
      </c>
      <c r="T33" s="107"/>
    </row>
    <row r="34" spans="1:20">
      <c r="A34" s="174">
        <f t="shared" si="3"/>
        <v>777</v>
      </c>
      <c r="B34" s="112">
        <v>4230</v>
      </c>
      <c r="C34" s="113" t="s">
        <v>120</v>
      </c>
      <c r="D34" s="113">
        <v>0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>
        <f t="shared" si="0"/>
        <v>0</v>
      </c>
      <c r="S34" s="109">
        <f t="shared" si="1"/>
        <v>0</v>
      </c>
      <c r="T34" s="107"/>
    </row>
    <row r="35" spans="1:20">
      <c r="A35" s="174">
        <f t="shared" si="3"/>
        <v>777</v>
      </c>
      <c r="B35" s="112">
        <v>4231</v>
      </c>
      <c r="C35" s="113" t="s">
        <v>121</v>
      </c>
      <c r="D35" s="113">
        <v>0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>
        <f t="shared" si="0"/>
        <v>0</v>
      </c>
      <c r="S35" s="109">
        <f t="shared" si="1"/>
        <v>0</v>
      </c>
      <c r="T35" s="107"/>
    </row>
    <row r="36" spans="1:20">
      <c r="A36" s="174">
        <f t="shared" si="3"/>
        <v>777</v>
      </c>
      <c r="B36" s="112">
        <v>4235</v>
      </c>
      <c r="C36" s="113" t="s">
        <v>122</v>
      </c>
      <c r="D36" s="113">
        <v>0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>
        <f t="shared" si="0"/>
        <v>0</v>
      </c>
      <c r="S36" s="109">
        <f t="shared" si="1"/>
        <v>0</v>
      </c>
      <c r="T36" s="107"/>
    </row>
    <row r="37" spans="1:20">
      <c r="A37" s="174">
        <f t="shared" si="3"/>
        <v>777</v>
      </c>
      <c r="B37" s="112">
        <v>4236</v>
      </c>
      <c r="C37" s="113" t="s">
        <v>123</v>
      </c>
      <c r="D37" s="113">
        <v>0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>
        <f t="shared" si="0"/>
        <v>0</v>
      </c>
      <c r="S37" s="109">
        <f t="shared" si="1"/>
        <v>0</v>
      </c>
      <c r="T37" s="107"/>
    </row>
    <row r="38" spans="1:20">
      <c r="A38" s="174">
        <f t="shared" si="3"/>
        <v>777</v>
      </c>
      <c r="B38" s="112">
        <v>4238</v>
      </c>
      <c r="C38" s="113" t="s">
        <v>124</v>
      </c>
      <c r="D38" s="113">
        <v>0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>
        <f t="shared" si="0"/>
        <v>0</v>
      </c>
      <c r="S38" s="109">
        <f t="shared" si="1"/>
        <v>0</v>
      </c>
      <c r="T38" s="107"/>
    </row>
    <row r="39" spans="1:20">
      <c r="A39" s="174">
        <f t="shared" si="3"/>
        <v>777</v>
      </c>
      <c r="B39" s="112">
        <v>4240</v>
      </c>
      <c r="C39" s="113" t="s">
        <v>125</v>
      </c>
      <c r="D39" s="113">
        <v>0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>
        <f t="shared" si="0"/>
        <v>0</v>
      </c>
      <c r="S39" s="109">
        <f t="shared" si="1"/>
        <v>0</v>
      </c>
      <c r="T39" s="107"/>
    </row>
    <row r="40" spans="1:20">
      <c r="A40" s="174">
        <f t="shared" si="3"/>
        <v>777</v>
      </c>
      <c r="B40" s="112">
        <v>4241</v>
      </c>
      <c r="C40" s="113" t="s">
        <v>126</v>
      </c>
      <c r="D40" s="113">
        <v>0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>
        <f t="shared" si="0"/>
        <v>0</v>
      </c>
      <c r="S40" s="109">
        <f t="shared" si="1"/>
        <v>0</v>
      </c>
      <c r="T40" s="107"/>
    </row>
    <row r="41" spans="1:20">
      <c r="A41" s="174">
        <f t="shared" si="3"/>
        <v>777</v>
      </c>
      <c r="B41" s="112">
        <v>4242</v>
      </c>
      <c r="C41" s="113" t="s">
        <v>127</v>
      </c>
      <c r="D41" s="113">
        <v>0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>
        <f t="shared" si="0"/>
        <v>0</v>
      </c>
      <c r="S41" s="109">
        <f t="shared" si="1"/>
        <v>0</v>
      </c>
      <c r="T41" s="107"/>
    </row>
    <row r="42" spans="1:20">
      <c r="A42" s="174">
        <f t="shared" si="3"/>
        <v>777</v>
      </c>
      <c r="B42" s="112">
        <v>4243</v>
      </c>
      <c r="C42" s="113" t="s">
        <v>128</v>
      </c>
      <c r="D42" s="113">
        <v>0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>
        <f t="shared" si="0"/>
        <v>0</v>
      </c>
      <c r="S42" s="109">
        <f t="shared" si="1"/>
        <v>0</v>
      </c>
      <c r="T42" s="107"/>
    </row>
    <row r="43" spans="1:20">
      <c r="A43" s="174">
        <f t="shared" si="3"/>
        <v>777</v>
      </c>
      <c r="B43" s="112">
        <v>4244</v>
      </c>
      <c r="C43" s="113" t="s">
        <v>129</v>
      </c>
      <c r="D43" s="113">
        <v>0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>
        <f t="shared" si="0"/>
        <v>0</v>
      </c>
      <c r="S43" s="109">
        <f t="shared" si="1"/>
        <v>0</v>
      </c>
      <c r="T43" s="107"/>
    </row>
    <row r="44" spans="1:20">
      <c r="A44" s="174">
        <f t="shared" si="3"/>
        <v>777</v>
      </c>
      <c r="B44" s="112">
        <v>4245</v>
      </c>
      <c r="C44" s="113" t="s">
        <v>130</v>
      </c>
      <c r="D44" s="113">
        <v>0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>
        <f t="shared" si="0"/>
        <v>0</v>
      </c>
      <c r="S44" s="109">
        <f t="shared" si="1"/>
        <v>0</v>
      </c>
      <c r="T44" s="107"/>
    </row>
    <row r="45" spans="1:20">
      <c r="A45" s="174">
        <f t="shared" si="3"/>
        <v>777</v>
      </c>
      <c r="B45" s="112">
        <v>4250</v>
      </c>
      <c r="C45" s="113" t="s">
        <v>131</v>
      </c>
      <c r="D45" s="113">
        <v>0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>
        <f t="shared" si="0"/>
        <v>0</v>
      </c>
      <c r="S45" s="109">
        <f t="shared" si="1"/>
        <v>0</v>
      </c>
      <c r="T45" s="107"/>
    </row>
    <row r="46" spans="1:20">
      <c r="A46" s="174">
        <f t="shared" si="3"/>
        <v>777</v>
      </c>
      <c r="B46" s="112">
        <v>4255</v>
      </c>
      <c r="C46" s="113" t="s">
        <v>132</v>
      </c>
      <c r="D46" s="113">
        <v>0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>
        <f t="shared" si="0"/>
        <v>0</v>
      </c>
      <c r="S46" s="109">
        <f t="shared" si="1"/>
        <v>0</v>
      </c>
      <c r="T46" s="107"/>
    </row>
    <row r="47" spans="1:20">
      <c r="A47" s="174">
        <f t="shared" si="3"/>
        <v>777</v>
      </c>
      <c r="B47" s="112">
        <v>4265</v>
      </c>
      <c r="C47" s="113" t="s">
        <v>133</v>
      </c>
      <c r="D47" s="113">
        <v>0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>
        <f t="shared" si="0"/>
        <v>0</v>
      </c>
      <c r="S47" s="109">
        <f t="shared" si="1"/>
        <v>0</v>
      </c>
      <c r="T47" s="107"/>
    </row>
    <row r="48" spans="1:20">
      <c r="A48" s="174">
        <f t="shared" si="3"/>
        <v>777</v>
      </c>
      <c r="B48" s="112">
        <v>4275</v>
      </c>
      <c r="C48" s="113" t="s">
        <v>134</v>
      </c>
      <c r="D48" s="113">
        <v>0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>
        <f t="shared" si="0"/>
        <v>0</v>
      </c>
      <c r="S48" s="109">
        <f t="shared" si="1"/>
        <v>0</v>
      </c>
      <c r="T48" s="107"/>
    </row>
    <row r="49" spans="1:20">
      <c r="A49" s="174">
        <f t="shared" si="3"/>
        <v>777</v>
      </c>
      <c r="B49" s="112">
        <v>4285</v>
      </c>
      <c r="C49" s="113" t="s">
        <v>135</v>
      </c>
      <c r="D49" s="113">
        <v>0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>
        <f t="shared" si="0"/>
        <v>0</v>
      </c>
      <c r="S49" s="109">
        <f t="shared" si="1"/>
        <v>0</v>
      </c>
      <c r="T49" s="107"/>
    </row>
    <row r="50" spans="1:20">
      <c r="A50" s="174">
        <f t="shared" si="3"/>
        <v>777</v>
      </c>
      <c r="B50" s="112">
        <v>4286</v>
      </c>
      <c r="C50" s="113" t="s">
        <v>136</v>
      </c>
      <c r="D50" s="113">
        <v>0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>
        <f t="shared" si="0"/>
        <v>0</v>
      </c>
      <c r="S50" s="109">
        <f t="shared" si="1"/>
        <v>0</v>
      </c>
      <c r="T50" s="107"/>
    </row>
    <row r="51" spans="1:20">
      <c r="A51" s="174">
        <f t="shared" si="3"/>
        <v>777</v>
      </c>
      <c r="B51" s="112">
        <v>4290</v>
      </c>
      <c r="C51" s="113" t="s">
        <v>137</v>
      </c>
      <c r="D51" s="113">
        <v>0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>
        <f t="shared" si="0"/>
        <v>0</v>
      </c>
      <c r="S51" s="109">
        <f t="shared" si="1"/>
        <v>0</v>
      </c>
      <c r="T51" s="107"/>
    </row>
    <row r="52" spans="1:20">
      <c r="A52" s="174">
        <f t="shared" si="3"/>
        <v>777</v>
      </c>
      <c r="B52" s="112">
        <v>4295</v>
      </c>
      <c r="C52" s="113" t="s">
        <v>138</v>
      </c>
      <c r="D52" s="113">
        <v>0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>
        <f t="shared" si="0"/>
        <v>0</v>
      </c>
      <c r="S52" s="109">
        <f t="shared" si="1"/>
        <v>0</v>
      </c>
      <c r="T52" s="107"/>
    </row>
    <row r="53" spans="1:20">
      <c r="A53" s="174">
        <f t="shared" si="3"/>
        <v>777</v>
      </c>
      <c r="B53" s="112">
        <v>4300</v>
      </c>
      <c r="C53" s="113" t="s">
        <v>139</v>
      </c>
      <c r="D53" s="113">
        <v>0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>
        <f t="shared" si="0"/>
        <v>0</v>
      </c>
      <c r="S53" s="109">
        <f t="shared" si="1"/>
        <v>0</v>
      </c>
      <c r="T53" s="107"/>
    </row>
    <row r="54" spans="1:20">
      <c r="A54" s="174">
        <f t="shared" si="3"/>
        <v>777</v>
      </c>
      <c r="B54" s="112">
        <v>4301</v>
      </c>
      <c r="C54" s="113" t="s">
        <v>140</v>
      </c>
      <c r="D54" s="113">
        <v>0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>
        <f t="shared" si="0"/>
        <v>0</v>
      </c>
      <c r="S54" s="109">
        <f t="shared" si="1"/>
        <v>0</v>
      </c>
      <c r="T54" s="107"/>
    </row>
    <row r="55" spans="1:20">
      <c r="A55" s="174">
        <f t="shared" si="3"/>
        <v>777</v>
      </c>
      <c r="B55" s="112">
        <v>4305</v>
      </c>
      <c r="C55" s="113" t="s">
        <v>141</v>
      </c>
      <c r="D55" s="113">
        <v>0</v>
      </c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>
        <f t="shared" si="0"/>
        <v>0</v>
      </c>
      <c r="S55" s="109">
        <f t="shared" si="1"/>
        <v>0</v>
      </c>
      <c r="T55" s="107"/>
    </row>
    <row r="56" spans="1:20">
      <c r="A56" s="174">
        <f t="shared" si="3"/>
        <v>777</v>
      </c>
      <c r="B56" s="112">
        <v>4310</v>
      </c>
      <c r="C56" s="113" t="s">
        <v>142</v>
      </c>
      <c r="D56" s="113">
        <v>0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>
        <f t="shared" si="0"/>
        <v>0</v>
      </c>
      <c r="S56" s="109">
        <f t="shared" si="1"/>
        <v>0</v>
      </c>
      <c r="T56" s="107"/>
    </row>
    <row r="57" spans="1:20">
      <c r="A57" s="174">
        <f t="shared" si="3"/>
        <v>777</v>
      </c>
      <c r="B57" s="112">
        <v>4325</v>
      </c>
      <c r="C57" s="113" t="s">
        <v>143</v>
      </c>
      <c r="D57" s="113">
        <v>0</v>
      </c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>
        <f t="shared" si="0"/>
        <v>0</v>
      </c>
      <c r="S57" s="109">
        <f t="shared" si="1"/>
        <v>0</v>
      </c>
      <c r="T57" s="107"/>
    </row>
    <row r="58" spans="1:20">
      <c r="A58" s="174">
        <f t="shared" si="3"/>
        <v>777</v>
      </c>
      <c r="B58" s="112">
        <v>4330</v>
      </c>
      <c r="C58" s="113" t="s">
        <v>144</v>
      </c>
      <c r="D58" s="113">
        <v>0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>
        <f t="shared" si="0"/>
        <v>0</v>
      </c>
      <c r="S58" s="109">
        <f t="shared" si="1"/>
        <v>0</v>
      </c>
      <c r="T58" s="107"/>
    </row>
    <row r="59" spans="1:20" s="541" customFormat="1">
      <c r="A59" s="536">
        <f t="shared" si="3"/>
        <v>777</v>
      </c>
      <c r="B59" s="537">
        <v>4335</v>
      </c>
      <c r="C59" s="538" t="s">
        <v>145</v>
      </c>
      <c r="D59" s="538">
        <v>0</v>
      </c>
      <c r="E59" s="535">
        <f>-yrlycomp!J28</f>
        <v>-900</v>
      </c>
      <c r="F59" s="539">
        <f>+$E$59/12</f>
        <v>-75</v>
      </c>
      <c r="G59" s="539">
        <f t="shared" ref="G59:Q59" si="4">+$E$59/12</f>
        <v>-75</v>
      </c>
      <c r="H59" s="539">
        <f t="shared" si="4"/>
        <v>-75</v>
      </c>
      <c r="I59" s="539">
        <f t="shared" si="4"/>
        <v>-75</v>
      </c>
      <c r="J59" s="539">
        <f t="shared" si="4"/>
        <v>-75</v>
      </c>
      <c r="K59" s="539">
        <f t="shared" si="4"/>
        <v>-75</v>
      </c>
      <c r="L59" s="539">
        <f t="shared" si="4"/>
        <v>-75</v>
      </c>
      <c r="M59" s="539">
        <f t="shared" si="4"/>
        <v>-75</v>
      </c>
      <c r="N59" s="539">
        <f t="shared" si="4"/>
        <v>-75</v>
      </c>
      <c r="O59" s="539">
        <f t="shared" si="4"/>
        <v>-75</v>
      </c>
      <c r="P59" s="539">
        <f t="shared" si="4"/>
        <v>-75</v>
      </c>
      <c r="Q59" s="539">
        <f t="shared" si="4"/>
        <v>-75</v>
      </c>
      <c r="R59" s="535">
        <f t="shared" si="0"/>
        <v>-900</v>
      </c>
      <c r="S59" s="535">
        <f t="shared" si="1"/>
        <v>0</v>
      </c>
      <c r="T59" s="540"/>
    </row>
    <row r="60" spans="1:20">
      <c r="A60" s="174">
        <f t="shared" si="3"/>
        <v>777</v>
      </c>
      <c r="B60" s="112">
        <v>4338</v>
      </c>
      <c r="C60" s="113" t="s">
        <v>146</v>
      </c>
      <c r="D60" s="113">
        <v>0</v>
      </c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>
        <f t="shared" si="0"/>
        <v>0</v>
      </c>
      <c r="S60" s="109">
        <f t="shared" si="1"/>
        <v>0</v>
      </c>
      <c r="T60" s="107"/>
    </row>
    <row r="61" spans="1:20">
      <c r="A61" s="174">
        <f t="shared" si="3"/>
        <v>777</v>
      </c>
      <c r="B61" s="112">
        <v>4350</v>
      </c>
      <c r="C61" s="113" t="s">
        <v>147</v>
      </c>
      <c r="D61" s="113">
        <v>0</v>
      </c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>
        <f t="shared" si="0"/>
        <v>0</v>
      </c>
      <c r="S61" s="109">
        <f t="shared" si="1"/>
        <v>0</v>
      </c>
      <c r="T61" s="107"/>
    </row>
    <row r="62" spans="1:20">
      <c r="A62" s="174">
        <f t="shared" si="3"/>
        <v>777</v>
      </c>
      <c r="B62" s="112">
        <v>4355</v>
      </c>
      <c r="C62" s="113" t="s">
        <v>148</v>
      </c>
      <c r="D62" s="113">
        <v>0</v>
      </c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>
        <f t="shared" si="0"/>
        <v>0</v>
      </c>
      <c r="S62" s="109">
        <f t="shared" si="1"/>
        <v>0</v>
      </c>
      <c r="T62" s="107"/>
    </row>
    <row r="63" spans="1:20">
      <c r="A63" s="174">
        <f t="shared" si="3"/>
        <v>777</v>
      </c>
      <c r="B63" s="112">
        <v>4360</v>
      </c>
      <c r="C63" s="113" t="s">
        <v>149</v>
      </c>
      <c r="D63" s="113">
        <v>0</v>
      </c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>
        <f t="shared" si="0"/>
        <v>0</v>
      </c>
      <c r="S63" s="109">
        <f t="shared" si="1"/>
        <v>0</v>
      </c>
      <c r="T63" s="107"/>
    </row>
    <row r="64" spans="1:20">
      <c r="A64" s="174">
        <f t="shared" si="3"/>
        <v>777</v>
      </c>
      <c r="B64" s="112">
        <v>4365</v>
      </c>
      <c r="C64" s="113" t="s">
        <v>150</v>
      </c>
      <c r="D64" s="113">
        <v>0</v>
      </c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>
        <f t="shared" si="0"/>
        <v>0</v>
      </c>
      <c r="S64" s="109">
        <f t="shared" si="1"/>
        <v>0</v>
      </c>
      <c r="T64" s="107"/>
    </row>
    <row r="65" spans="1:20">
      <c r="A65" s="174">
        <f t="shared" si="3"/>
        <v>777</v>
      </c>
      <c r="B65" s="112">
        <v>4368</v>
      </c>
      <c r="C65" s="113" t="s">
        <v>151</v>
      </c>
      <c r="D65" s="113">
        <v>0</v>
      </c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>
        <f t="shared" si="0"/>
        <v>0</v>
      </c>
      <c r="S65" s="109">
        <f t="shared" si="1"/>
        <v>0</v>
      </c>
      <c r="T65" s="107"/>
    </row>
    <row r="66" spans="1:20">
      <c r="A66" s="174">
        <f t="shared" si="3"/>
        <v>777</v>
      </c>
      <c r="B66" s="112">
        <v>4370</v>
      </c>
      <c r="C66" s="113" t="s">
        <v>152</v>
      </c>
      <c r="D66" s="113">
        <v>0</v>
      </c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>
        <f t="shared" si="0"/>
        <v>0</v>
      </c>
      <c r="S66" s="109">
        <f t="shared" si="1"/>
        <v>0</v>
      </c>
      <c r="T66" s="107"/>
    </row>
    <row r="67" spans="1:20">
      <c r="A67" s="174">
        <f t="shared" si="3"/>
        <v>777</v>
      </c>
      <c r="B67" s="112">
        <v>4400</v>
      </c>
      <c r="C67" s="113" t="s">
        <v>101</v>
      </c>
      <c r="D67" s="113">
        <v>0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>
        <f t="shared" si="0"/>
        <v>0</v>
      </c>
      <c r="S67" s="109">
        <f t="shared" si="1"/>
        <v>0</v>
      </c>
      <c r="T67" s="107"/>
    </row>
    <row r="68" spans="1:20">
      <c r="A68" s="174">
        <f t="shared" si="3"/>
        <v>777</v>
      </c>
      <c r="B68" s="112">
        <v>4415</v>
      </c>
      <c r="C68" s="113" t="s">
        <v>153</v>
      </c>
      <c r="D68" s="113">
        <v>0</v>
      </c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>
        <f t="shared" si="0"/>
        <v>0</v>
      </c>
      <c r="S68" s="109">
        <f t="shared" si="1"/>
        <v>0</v>
      </c>
      <c r="T68" s="107"/>
    </row>
    <row r="69" spans="1:20">
      <c r="A69" s="174">
        <f t="shared" si="3"/>
        <v>777</v>
      </c>
      <c r="B69" s="112">
        <v>4416</v>
      </c>
      <c r="C69" s="113" t="s">
        <v>154</v>
      </c>
      <c r="D69" s="113">
        <v>0</v>
      </c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>
        <f t="shared" si="0"/>
        <v>0</v>
      </c>
      <c r="S69" s="109">
        <f t="shared" si="1"/>
        <v>0</v>
      </c>
      <c r="T69" s="107"/>
    </row>
    <row r="70" spans="1:20">
      <c r="A70" s="174">
        <f t="shared" si="3"/>
        <v>777</v>
      </c>
      <c r="B70" s="112">
        <v>4425</v>
      </c>
      <c r="C70" s="113" t="s">
        <v>155</v>
      </c>
      <c r="D70" s="113">
        <v>0</v>
      </c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>
        <f t="shared" si="0"/>
        <v>0</v>
      </c>
      <c r="S70" s="109">
        <f t="shared" ref="S70:S133" si="5">+E70-R70</f>
        <v>0</v>
      </c>
      <c r="T70" s="107"/>
    </row>
    <row r="71" spans="1:20">
      <c r="A71" s="174">
        <f t="shared" si="3"/>
        <v>777</v>
      </c>
      <c r="B71" s="112">
        <v>4435</v>
      </c>
      <c r="C71" s="113" t="s">
        <v>101</v>
      </c>
      <c r="D71" s="113">
        <v>0</v>
      </c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>
        <f t="shared" ref="R71:R134" si="6">SUM(F71:Q71)</f>
        <v>0</v>
      </c>
      <c r="S71" s="109">
        <f t="shared" si="5"/>
        <v>0</v>
      </c>
      <c r="T71" s="107"/>
    </row>
    <row r="72" spans="1:20">
      <c r="A72" s="174">
        <f t="shared" si="3"/>
        <v>777</v>
      </c>
      <c r="B72" s="112">
        <v>4510</v>
      </c>
      <c r="C72" s="113" t="s">
        <v>101</v>
      </c>
      <c r="D72" s="113">
        <v>0</v>
      </c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>
        <f t="shared" si="6"/>
        <v>0</v>
      </c>
      <c r="S72" s="109">
        <f t="shared" si="5"/>
        <v>0</v>
      </c>
      <c r="T72" s="107"/>
    </row>
    <row r="73" spans="1:20">
      <c r="A73" s="174">
        <f t="shared" ref="A73:A136" si="7">+A72</f>
        <v>777</v>
      </c>
      <c r="B73" s="112">
        <v>4605</v>
      </c>
      <c r="C73" s="113" t="s">
        <v>156</v>
      </c>
      <c r="D73" s="113">
        <v>0</v>
      </c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>
        <f t="shared" si="6"/>
        <v>0</v>
      </c>
      <c r="S73" s="109">
        <f t="shared" si="5"/>
        <v>0</v>
      </c>
      <c r="T73" s="107"/>
    </row>
    <row r="74" spans="1:20">
      <c r="A74" s="174">
        <f t="shared" si="7"/>
        <v>777</v>
      </c>
      <c r="B74" s="112">
        <v>4638</v>
      </c>
      <c r="C74" s="113" t="s">
        <v>157</v>
      </c>
      <c r="D74" s="113">
        <v>0</v>
      </c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>
        <f t="shared" si="6"/>
        <v>0</v>
      </c>
      <c r="S74" s="109">
        <f t="shared" si="5"/>
        <v>0</v>
      </c>
      <c r="T74" s="107"/>
    </row>
    <row r="75" spans="1:20">
      <c r="A75" s="174">
        <f t="shared" si="7"/>
        <v>777</v>
      </c>
      <c r="B75" s="112">
        <v>4800</v>
      </c>
      <c r="C75" s="113" t="s">
        <v>158</v>
      </c>
      <c r="D75" s="113">
        <v>0</v>
      </c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>
        <f t="shared" si="6"/>
        <v>0</v>
      </c>
      <c r="S75" s="109">
        <f t="shared" si="5"/>
        <v>0</v>
      </c>
      <c r="T75" s="107"/>
    </row>
    <row r="76" spans="1:20">
      <c r="A76" s="174">
        <f t="shared" si="7"/>
        <v>777</v>
      </c>
      <c r="B76" s="112">
        <v>4900</v>
      </c>
      <c r="C76" s="113" t="s">
        <v>159</v>
      </c>
      <c r="D76" s="113">
        <v>0</v>
      </c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>
        <f t="shared" si="6"/>
        <v>0</v>
      </c>
      <c r="S76" s="109">
        <f t="shared" si="5"/>
        <v>0</v>
      </c>
      <c r="T76" s="107"/>
    </row>
    <row r="77" spans="1:20">
      <c r="A77" s="174">
        <f t="shared" si="7"/>
        <v>777</v>
      </c>
      <c r="B77" s="112">
        <v>4901</v>
      </c>
      <c r="C77" s="113" t="s">
        <v>160</v>
      </c>
      <c r="D77" s="113">
        <v>0</v>
      </c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>
        <f t="shared" si="6"/>
        <v>0</v>
      </c>
      <c r="S77" s="109">
        <f t="shared" si="5"/>
        <v>0</v>
      </c>
      <c r="T77" s="107"/>
    </row>
    <row r="78" spans="1:20">
      <c r="A78" s="174">
        <f t="shared" si="7"/>
        <v>777</v>
      </c>
      <c r="B78" s="112">
        <v>4999</v>
      </c>
      <c r="C78" s="113" t="s">
        <v>161</v>
      </c>
      <c r="D78" s="113">
        <v>0</v>
      </c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>
        <f t="shared" si="6"/>
        <v>0</v>
      </c>
      <c r="S78" s="109">
        <f t="shared" si="5"/>
        <v>0</v>
      </c>
      <c r="T78" s="107"/>
    </row>
    <row r="79" spans="1:20" s="541" customFormat="1">
      <c r="A79" s="536">
        <f t="shared" si="7"/>
        <v>777</v>
      </c>
      <c r="B79" s="547">
        <v>5001</v>
      </c>
      <c r="C79" s="548" t="s">
        <v>162</v>
      </c>
      <c r="D79" s="538">
        <v>0</v>
      </c>
      <c r="E79" s="549">
        <f>+Payroll!N47</f>
        <v>196746.19999999995</v>
      </c>
      <c r="F79" s="549">
        <f>+Payroll!B47</f>
        <v>14549.018461538459</v>
      </c>
      <c r="G79" s="549">
        <f>+Payroll!C47</f>
        <v>14549.018461538459</v>
      </c>
      <c r="H79" s="549">
        <f>+Payroll!D47</f>
        <v>14549.018461538459</v>
      </c>
      <c r="I79" s="549">
        <f>+Payroll!E47</f>
        <v>18186.273076923073</v>
      </c>
      <c r="J79" s="549">
        <f>+Payroll!F47</f>
        <v>14549.018461538459</v>
      </c>
      <c r="K79" s="549">
        <f>+Payroll!G47</f>
        <v>14549.018461538459</v>
      </c>
      <c r="L79" s="549">
        <f>+Payroll!H47</f>
        <v>18186.273076923073</v>
      </c>
      <c r="M79" s="549">
        <f>+Payroll!I47</f>
        <v>14549.018461538459</v>
      </c>
      <c r="N79" s="549">
        <f>+Payroll!J47</f>
        <v>14549.018461538459</v>
      </c>
      <c r="O79" s="549">
        <f>+Payroll!K47</f>
        <v>18186.273076923073</v>
      </c>
      <c r="P79" s="549">
        <f>+Payroll!L47</f>
        <v>14549.018461538459</v>
      </c>
      <c r="Q79" s="549">
        <f>+Payroll!M47</f>
        <v>25795.233076923072</v>
      </c>
      <c r="R79" s="535">
        <f t="shared" si="6"/>
        <v>196746.19999999995</v>
      </c>
      <c r="S79" s="535">
        <f t="shared" si="5"/>
        <v>0</v>
      </c>
    </row>
    <row r="80" spans="1:20" s="541" customFormat="1">
      <c r="A80" s="536">
        <f t="shared" si="7"/>
        <v>777</v>
      </c>
      <c r="B80" s="547">
        <v>5005</v>
      </c>
      <c r="C80" s="548" t="s">
        <v>163</v>
      </c>
      <c r="D80" s="538">
        <v>0</v>
      </c>
      <c r="E80" s="549"/>
      <c r="F80" s="549"/>
      <c r="G80" s="549"/>
      <c r="H80" s="549"/>
      <c r="I80" s="549"/>
      <c r="J80" s="549"/>
      <c r="K80" s="549"/>
      <c r="L80" s="549"/>
      <c r="M80" s="549"/>
      <c r="N80" s="549"/>
      <c r="O80" s="549"/>
      <c r="P80" s="549"/>
      <c r="Q80" s="549"/>
      <c r="R80" s="535">
        <f t="shared" si="6"/>
        <v>0</v>
      </c>
      <c r="S80" s="535">
        <f t="shared" si="5"/>
        <v>0</v>
      </c>
    </row>
    <row r="81" spans="1:19" s="541" customFormat="1">
      <c r="A81" s="536">
        <f t="shared" si="7"/>
        <v>777</v>
      </c>
      <c r="B81" s="547">
        <v>5010</v>
      </c>
      <c r="C81" s="548" t="s">
        <v>164</v>
      </c>
      <c r="D81" s="538">
        <v>0</v>
      </c>
      <c r="E81" s="549">
        <f>+Payroll!N53</f>
        <v>18139.924799999997</v>
      </c>
      <c r="F81" s="549">
        <f>+Payroll!B53</f>
        <v>3471.4711384615384</v>
      </c>
      <c r="G81" s="549">
        <f>+Payroll!C53</f>
        <v>1222.3711384615383</v>
      </c>
      <c r="H81" s="549">
        <f>+Payroll!D53</f>
        <v>1222.3711384615383</v>
      </c>
      <c r="I81" s="549">
        <f>+Payroll!E53</f>
        <v>1527.9639230769228</v>
      </c>
      <c r="J81" s="549">
        <f>+Payroll!F53</f>
        <v>1222.3711384615383</v>
      </c>
      <c r="K81" s="549">
        <f>+Payroll!G53</f>
        <v>1222.3711384615383</v>
      </c>
      <c r="L81" s="549">
        <f>+Payroll!H53</f>
        <v>1527.9639230769228</v>
      </c>
      <c r="M81" s="549">
        <f>+Payroll!I53</f>
        <v>1222.3711384615383</v>
      </c>
      <c r="N81" s="549">
        <f>+Payroll!J53</f>
        <v>1222.3711384615383</v>
      </c>
      <c r="O81" s="549">
        <f>+Payroll!K53</f>
        <v>1527.9639230769228</v>
      </c>
      <c r="P81" s="549">
        <f>+Payroll!L53</f>
        <v>1222.3711384615383</v>
      </c>
      <c r="Q81" s="549">
        <f>+Payroll!M53</f>
        <v>1527.9639230769228</v>
      </c>
      <c r="R81" s="535">
        <f t="shared" si="6"/>
        <v>18139.924799999997</v>
      </c>
      <c r="S81" s="535">
        <f t="shared" si="5"/>
        <v>0</v>
      </c>
    </row>
    <row r="82" spans="1:19" s="541" customFormat="1">
      <c r="A82" s="536">
        <f t="shared" si="7"/>
        <v>777</v>
      </c>
      <c r="B82" s="547">
        <v>5015</v>
      </c>
      <c r="C82" s="548" t="s">
        <v>165</v>
      </c>
      <c r="D82" s="538">
        <v>0</v>
      </c>
      <c r="E82" s="549">
        <f>+Payroll!N61</f>
        <v>6005.8799999999983</v>
      </c>
      <c r="F82" s="549">
        <f>+Payroll!B61</f>
        <v>500.49</v>
      </c>
      <c r="G82" s="549">
        <f>+Payroll!C61</f>
        <v>500.49</v>
      </c>
      <c r="H82" s="549">
        <f>+Payroll!D61</f>
        <v>500.49</v>
      </c>
      <c r="I82" s="549">
        <f>+Payroll!E61</f>
        <v>500.49</v>
      </c>
      <c r="J82" s="549">
        <f>+Payroll!F61</f>
        <v>500.49</v>
      </c>
      <c r="K82" s="549">
        <f>+Payroll!G61</f>
        <v>500.49</v>
      </c>
      <c r="L82" s="549">
        <f>+Payroll!H61</f>
        <v>500.49</v>
      </c>
      <c r="M82" s="549">
        <f>+Payroll!I61</f>
        <v>500.49</v>
      </c>
      <c r="N82" s="549">
        <f>+Payroll!J61</f>
        <v>500.49</v>
      </c>
      <c r="O82" s="549">
        <f>+Payroll!K61</f>
        <v>500.49</v>
      </c>
      <c r="P82" s="549">
        <f>+Payroll!L61</f>
        <v>500.49</v>
      </c>
      <c r="Q82" s="549">
        <f>+Payroll!M61</f>
        <v>500.49</v>
      </c>
      <c r="R82" s="535">
        <f t="shared" si="6"/>
        <v>6005.8799999999983</v>
      </c>
      <c r="S82" s="535">
        <f t="shared" si="5"/>
        <v>0</v>
      </c>
    </row>
    <row r="83" spans="1:19" s="541" customFormat="1">
      <c r="A83" s="536">
        <f t="shared" si="7"/>
        <v>777</v>
      </c>
      <c r="B83" s="547">
        <v>5016</v>
      </c>
      <c r="C83" s="548" t="s">
        <v>166</v>
      </c>
      <c r="D83" s="538">
        <v>0</v>
      </c>
      <c r="E83" s="549"/>
      <c r="F83" s="549"/>
      <c r="G83" s="549"/>
      <c r="H83" s="549"/>
      <c r="I83" s="549"/>
      <c r="J83" s="549"/>
      <c r="K83" s="549"/>
      <c r="L83" s="549"/>
      <c r="M83" s="549"/>
      <c r="N83" s="549"/>
      <c r="O83" s="549"/>
      <c r="P83" s="549"/>
      <c r="Q83" s="549"/>
      <c r="R83" s="535">
        <f t="shared" si="6"/>
        <v>0</v>
      </c>
      <c r="S83" s="535">
        <f t="shared" si="5"/>
        <v>0</v>
      </c>
    </row>
    <row r="84" spans="1:19" s="541" customFormat="1">
      <c r="A84" s="536">
        <f t="shared" si="7"/>
        <v>777</v>
      </c>
      <c r="B84" s="547">
        <v>5017</v>
      </c>
      <c r="C84" s="548" t="s">
        <v>167</v>
      </c>
      <c r="D84" s="538">
        <v>0</v>
      </c>
      <c r="E84" s="549"/>
      <c r="F84" s="549"/>
      <c r="G84" s="549"/>
      <c r="H84" s="549"/>
      <c r="I84" s="549"/>
      <c r="J84" s="549"/>
      <c r="K84" s="549"/>
      <c r="L84" s="549"/>
      <c r="M84" s="549"/>
      <c r="N84" s="549"/>
      <c r="O84" s="549"/>
      <c r="P84" s="549"/>
      <c r="Q84" s="549"/>
      <c r="R84" s="535">
        <f t="shared" si="6"/>
        <v>0</v>
      </c>
      <c r="S84" s="535">
        <f t="shared" si="5"/>
        <v>0</v>
      </c>
    </row>
    <row r="85" spans="1:19" s="541" customFormat="1">
      <c r="A85" s="536">
        <f t="shared" si="7"/>
        <v>777</v>
      </c>
      <c r="B85" s="547">
        <v>5018</v>
      </c>
      <c r="C85" s="548" t="s">
        <v>168</v>
      </c>
      <c r="D85" s="538">
        <v>0</v>
      </c>
      <c r="E85" s="549"/>
      <c r="F85" s="549"/>
      <c r="G85" s="549"/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35">
        <f t="shared" si="6"/>
        <v>0</v>
      </c>
      <c r="S85" s="535">
        <f t="shared" si="5"/>
        <v>0</v>
      </c>
    </row>
    <row r="86" spans="1:19" s="541" customFormat="1">
      <c r="A86" s="536">
        <f t="shared" si="7"/>
        <v>777</v>
      </c>
      <c r="B86" s="547">
        <v>5019</v>
      </c>
      <c r="C86" s="548" t="s">
        <v>169</v>
      </c>
      <c r="D86" s="538">
        <v>0</v>
      </c>
      <c r="E86" s="549"/>
      <c r="F86" s="549"/>
      <c r="G86" s="549"/>
      <c r="H86" s="549"/>
      <c r="I86" s="549"/>
      <c r="J86" s="549"/>
      <c r="K86" s="549"/>
      <c r="L86" s="549"/>
      <c r="M86" s="549"/>
      <c r="N86" s="549"/>
      <c r="O86" s="549"/>
      <c r="P86" s="549"/>
      <c r="Q86" s="549"/>
      <c r="R86" s="535">
        <f t="shared" si="6"/>
        <v>0</v>
      </c>
      <c r="S86" s="535">
        <f t="shared" si="5"/>
        <v>0</v>
      </c>
    </row>
    <row r="87" spans="1:19" s="541" customFormat="1">
      <c r="A87" s="536">
        <f t="shared" si="7"/>
        <v>777</v>
      </c>
      <c r="B87" s="547">
        <v>5020</v>
      </c>
      <c r="C87" s="548" t="s">
        <v>170</v>
      </c>
      <c r="D87" s="538">
        <v>0</v>
      </c>
      <c r="E87" s="549"/>
      <c r="F87" s="549"/>
      <c r="G87" s="549"/>
      <c r="H87" s="549"/>
      <c r="I87" s="549"/>
      <c r="J87" s="549"/>
      <c r="K87" s="549"/>
      <c r="L87" s="549"/>
      <c r="M87" s="549"/>
      <c r="N87" s="549"/>
      <c r="O87" s="549"/>
      <c r="P87" s="549"/>
      <c r="Q87" s="549"/>
      <c r="R87" s="535">
        <f t="shared" si="6"/>
        <v>0</v>
      </c>
      <c r="S87" s="535">
        <f t="shared" si="5"/>
        <v>0</v>
      </c>
    </row>
    <row r="88" spans="1:19" s="541" customFormat="1">
      <c r="A88" s="536">
        <f t="shared" si="7"/>
        <v>777</v>
      </c>
      <c r="B88" s="547">
        <v>5025</v>
      </c>
      <c r="C88" s="548" t="s">
        <v>171</v>
      </c>
      <c r="D88" s="538">
        <v>0</v>
      </c>
      <c r="E88" s="549">
        <f>+Payroll!N56</f>
        <v>13502.007999999996</v>
      </c>
      <c r="F88" s="549">
        <f>+Payroll!B56</f>
        <v>1125.1673333333331</v>
      </c>
      <c r="G88" s="549">
        <f>+Payroll!C56</f>
        <v>1125.1673333333331</v>
      </c>
      <c r="H88" s="549">
        <f>+Payroll!D56</f>
        <v>1125.1673333333331</v>
      </c>
      <c r="I88" s="549">
        <f>+Payroll!E56</f>
        <v>1125.1673333333331</v>
      </c>
      <c r="J88" s="549">
        <f>+Payroll!F56</f>
        <v>1125.1673333333331</v>
      </c>
      <c r="K88" s="549">
        <f>+Payroll!G56</f>
        <v>1125.1673333333331</v>
      </c>
      <c r="L88" s="549">
        <f>+Payroll!H56</f>
        <v>1125.1673333333331</v>
      </c>
      <c r="M88" s="549">
        <f>+Payroll!I56</f>
        <v>1125.1673333333331</v>
      </c>
      <c r="N88" s="549">
        <f>+Payroll!J56</f>
        <v>1125.1673333333331</v>
      </c>
      <c r="O88" s="549">
        <f>+Payroll!K56</f>
        <v>1125.1673333333331</v>
      </c>
      <c r="P88" s="549">
        <f>+Payroll!L56</f>
        <v>1125.1673333333331</v>
      </c>
      <c r="Q88" s="549">
        <f>+Payroll!M56</f>
        <v>1125.1673333333331</v>
      </c>
      <c r="R88" s="535">
        <f t="shared" si="6"/>
        <v>13502.007999999996</v>
      </c>
      <c r="S88" s="535">
        <f t="shared" si="5"/>
        <v>0</v>
      </c>
    </row>
    <row r="89" spans="1:19" s="541" customFormat="1">
      <c r="A89" s="536">
        <f t="shared" si="7"/>
        <v>777</v>
      </c>
      <c r="B89" s="547">
        <v>5026</v>
      </c>
      <c r="C89" s="548" t="s">
        <v>101</v>
      </c>
      <c r="D89" s="538">
        <v>0</v>
      </c>
      <c r="E89" s="549"/>
      <c r="F89" s="549"/>
      <c r="G89" s="549"/>
      <c r="H89" s="549"/>
      <c r="I89" s="549"/>
      <c r="J89" s="549"/>
      <c r="K89" s="549"/>
      <c r="L89" s="549"/>
      <c r="M89" s="549"/>
      <c r="N89" s="549"/>
      <c r="O89" s="549"/>
      <c r="P89" s="549"/>
      <c r="Q89" s="549"/>
      <c r="R89" s="535">
        <f t="shared" si="6"/>
        <v>0</v>
      </c>
      <c r="S89" s="535">
        <f t="shared" si="5"/>
        <v>0</v>
      </c>
    </row>
    <row r="90" spans="1:19" s="541" customFormat="1">
      <c r="A90" s="536">
        <f t="shared" si="7"/>
        <v>777</v>
      </c>
      <c r="B90" s="547">
        <v>5030</v>
      </c>
      <c r="C90" s="548" t="s">
        <v>172</v>
      </c>
      <c r="D90" s="538">
        <v>0</v>
      </c>
      <c r="E90" s="549">
        <f>+Payroll!N57</f>
        <v>315</v>
      </c>
      <c r="F90" s="549"/>
      <c r="G90" s="549"/>
      <c r="H90" s="549">
        <f>+Payroll!D57</f>
        <v>315</v>
      </c>
      <c r="I90" s="549"/>
      <c r="J90" s="549"/>
      <c r="K90" s="549"/>
      <c r="L90" s="549"/>
      <c r="M90" s="549"/>
      <c r="N90" s="549"/>
      <c r="O90" s="549"/>
      <c r="P90" s="549"/>
      <c r="Q90" s="549"/>
      <c r="R90" s="535">
        <f t="shared" si="6"/>
        <v>315</v>
      </c>
      <c r="S90" s="535">
        <f t="shared" si="5"/>
        <v>0</v>
      </c>
    </row>
    <row r="91" spans="1:19" s="541" customFormat="1">
      <c r="A91" s="536">
        <f t="shared" si="7"/>
        <v>777</v>
      </c>
      <c r="B91" s="547">
        <v>5035</v>
      </c>
      <c r="C91" s="548" t="s">
        <v>173</v>
      </c>
      <c r="D91" s="538">
        <v>0</v>
      </c>
      <c r="E91" s="549">
        <f>+Payroll!N62</f>
        <v>7094.3999999999987</v>
      </c>
      <c r="F91" s="549">
        <f>+$E$91/12</f>
        <v>591.19999999999993</v>
      </c>
      <c r="G91" s="549">
        <f t="shared" ref="G91:Q91" si="8">+$E$91/12</f>
        <v>591.19999999999993</v>
      </c>
      <c r="H91" s="549">
        <f t="shared" si="8"/>
        <v>591.19999999999993</v>
      </c>
      <c r="I91" s="549">
        <f t="shared" si="8"/>
        <v>591.19999999999993</v>
      </c>
      <c r="J91" s="549">
        <f t="shared" si="8"/>
        <v>591.19999999999993</v>
      </c>
      <c r="K91" s="549">
        <f t="shared" si="8"/>
        <v>591.19999999999993</v>
      </c>
      <c r="L91" s="549">
        <f t="shared" si="8"/>
        <v>591.19999999999993</v>
      </c>
      <c r="M91" s="549">
        <f t="shared" si="8"/>
        <v>591.19999999999993</v>
      </c>
      <c r="N91" s="549">
        <f t="shared" si="8"/>
        <v>591.19999999999993</v>
      </c>
      <c r="O91" s="549">
        <f t="shared" si="8"/>
        <v>591.19999999999993</v>
      </c>
      <c r="P91" s="549">
        <f t="shared" si="8"/>
        <v>591.19999999999993</v>
      </c>
      <c r="Q91" s="549">
        <f t="shared" si="8"/>
        <v>591.19999999999993</v>
      </c>
      <c r="R91" s="535">
        <f t="shared" si="6"/>
        <v>7094.3999999999987</v>
      </c>
      <c r="S91" s="535">
        <f t="shared" si="5"/>
        <v>0</v>
      </c>
    </row>
    <row r="92" spans="1:19" s="541" customFormat="1">
      <c r="A92" s="536">
        <f t="shared" si="7"/>
        <v>777</v>
      </c>
      <c r="B92" s="547">
        <v>5040</v>
      </c>
      <c r="C92" s="548" t="s">
        <v>174</v>
      </c>
      <c r="D92" s="538">
        <v>0</v>
      </c>
      <c r="E92" s="549"/>
      <c r="F92" s="549"/>
      <c r="G92" s="549"/>
      <c r="H92" s="549"/>
      <c r="I92" s="549"/>
      <c r="J92" s="549"/>
      <c r="K92" s="549"/>
      <c r="L92" s="549"/>
      <c r="M92" s="549"/>
      <c r="N92" s="549"/>
      <c r="O92" s="549"/>
      <c r="P92" s="549"/>
      <c r="Q92" s="549"/>
      <c r="R92" s="535">
        <f t="shared" si="6"/>
        <v>0</v>
      </c>
      <c r="S92" s="535">
        <f t="shared" si="5"/>
        <v>0</v>
      </c>
    </row>
    <row r="93" spans="1:19" s="541" customFormat="1">
      <c r="A93" s="536">
        <f t="shared" si="7"/>
        <v>777</v>
      </c>
      <c r="B93" s="547">
        <v>5045</v>
      </c>
      <c r="C93" s="548" t="s">
        <v>175</v>
      </c>
      <c r="D93" s="538">
        <v>0</v>
      </c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549"/>
      <c r="P93" s="549"/>
      <c r="Q93" s="549"/>
      <c r="R93" s="535">
        <f t="shared" si="6"/>
        <v>0</v>
      </c>
      <c r="S93" s="535">
        <f t="shared" si="5"/>
        <v>0</v>
      </c>
    </row>
    <row r="94" spans="1:19">
      <c r="A94" s="174">
        <f t="shared" si="7"/>
        <v>777</v>
      </c>
      <c r="B94" s="118">
        <v>5046</v>
      </c>
      <c r="C94" s="119" t="s">
        <v>176</v>
      </c>
      <c r="D94" s="113">
        <v>0</v>
      </c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09">
        <f t="shared" si="6"/>
        <v>0</v>
      </c>
      <c r="S94" s="109">
        <f t="shared" si="5"/>
        <v>0</v>
      </c>
    </row>
    <row r="95" spans="1:19">
      <c r="A95" s="174">
        <f t="shared" si="7"/>
        <v>777</v>
      </c>
      <c r="B95" s="118">
        <v>5050</v>
      </c>
      <c r="C95" s="119" t="s">
        <v>177</v>
      </c>
      <c r="D95" s="113">
        <v>0</v>
      </c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09">
        <f t="shared" si="6"/>
        <v>0</v>
      </c>
      <c r="S95" s="109">
        <f t="shared" si="5"/>
        <v>0</v>
      </c>
    </row>
    <row r="96" spans="1:19">
      <c r="A96" s="174">
        <f t="shared" si="7"/>
        <v>777</v>
      </c>
      <c r="B96" s="118">
        <v>5051</v>
      </c>
      <c r="C96" s="119" t="s">
        <v>178</v>
      </c>
      <c r="D96" s="113">
        <v>0</v>
      </c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09">
        <f t="shared" si="6"/>
        <v>0</v>
      </c>
      <c r="S96" s="109">
        <f t="shared" si="5"/>
        <v>0</v>
      </c>
    </row>
    <row r="97" spans="1:19">
      <c r="A97" s="174">
        <f t="shared" si="7"/>
        <v>777</v>
      </c>
      <c r="B97" s="118">
        <v>5055</v>
      </c>
      <c r="C97" s="119" t="s">
        <v>179</v>
      </c>
      <c r="D97" s="113">
        <v>0</v>
      </c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09">
        <f t="shared" si="6"/>
        <v>0</v>
      </c>
      <c r="S97" s="109">
        <f t="shared" si="5"/>
        <v>0</v>
      </c>
    </row>
    <row r="98" spans="1:19">
      <c r="A98" s="174">
        <f t="shared" si="7"/>
        <v>777</v>
      </c>
      <c r="B98" s="118">
        <v>5064</v>
      </c>
      <c r="C98" s="119" t="s">
        <v>180</v>
      </c>
      <c r="D98" s="113">
        <v>0</v>
      </c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09">
        <f t="shared" si="6"/>
        <v>0</v>
      </c>
      <c r="S98" s="109">
        <f t="shared" si="5"/>
        <v>0</v>
      </c>
    </row>
    <row r="99" spans="1:19" s="541" customFormat="1">
      <c r="A99" s="536">
        <f t="shared" si="7"/>
        <v>777</v>
      </c>
      <c r="B99" s="547">
        <v>5101</v>
      </c>
      <c r="C99" s="548" t="s">
        <v>120</v>
      </c>
      <c r="D99" s="538">
        <v>0</v>
      </c>
      <c r="E99" s="550">
        <f>+'Electric &amp; Gas'!E88</f>
        <v>39516.106066666674</v>
      </c>
      <c r="F99" s="549">
        <f>+'Electric &amp; Gas'!$E76</f>
        <v>4021.7943999999998</v>
      </c>
      <c r="G99" s="549">
        <f>+'Electric &amp; Gas'!$E77</f>
        <v>3847.48</v>
      </c>
      <c r="H99" s="549">
        <f>+'Electric &amp; Gas'!$E78</f>
        <v>3199.69</v>
      </c>
      <c r="I99" s="549">
        <f>+'Electric &amp; Gas'!$E79</f>
        <v>2335.9700000000003</v>
      </c>
      <c r="J99" s="549">
        <f>+'Electric &amp; Gas'!$E80</f>
        <v>3209.5050000000001</v>
      </c>
      <c r="K99" s="549">
        <f>+'Electric &amp; Gas'!$E81</f>
        <v>3180.06</v>
      </c>
      <c r="L99" s="549">
        <f>+'Electric &amp; Gas'!$E82</f>
        <v>4279.34</v>
      </c>
      <c r="M99" s="549">
        <f>+'Electric &amp; Gas'!$E83</f>
        <v>3729.7</v>
      </c>
      <c r="N99" s="549">
        <f>+'Electric &amp; Gas'!$E84</f>
        <v>3592.29</v>
      </c>
      <c r="O99" s="549">
        <f>+'Electric &amp; Gas'!$E85</f>
        <v>2650.05</v>
      </c>
      <c r="P99" s="549">
        <f>+'Electric &amp; Gas'!$E86</f>
        <v>2643.5066666666662</v>
      </c>
      <c r="Q99" s="549">
        <f>+'Electric &amp; Gas'!$E87</f>
        <v>2826.7200000000003</v>
      </c>
      <c r="R99" s="535">
        <f>SUM(F99:Q99)</f>
        <v>39516.106066666674</v>
      </c>
      <c r="S99" s="535">
        <f t="shared" si="5"/>
        <v>0</v>
      </c>
    </row>
    <row r="100" spans="1:19" s="541" customFormat="1">
      <c r="A100" s="536">
        <f t="shared" si="7"/>
        <v>777</v>
      </c>
      <c r="B100" s="547">
        <v>5105</v>
      </c>
      <c r="C100" s="548" t="s">
        <v>181</v>
      </c>
      <c r="D100" s="538">
        <v>0</v>
      </c>
      <c r="E100" s="549">
        <f>+'Electric &amp; Gas'!L88</f>
        <v>4028.0800113864934</v>
      </c>
      <c r="F100" s="549">
        <f>+'Electric &amp; Gas'!$L76</f>
        <v>408.98644997238659</v>
      </c>
      <c r="G100" s="549">
        <f>+'Electric &amp; Gas'!$L77</f>
        <v>437.19241203944762</v>
      </c>
      <c r="H100" s="549">
        <f>+'Electric &amp; Gas'!$L78</f>
        <v>401.93495945562125</v>
      </c>
      <c r="I100" s="549">
        <f>+'Electric &amp; Gas'!$L79</f>
        <v>362.14440582530284</v>
      </c>
      <c r="J100" s="549">
        <f>+'Electric &amp; Gas'!$L80</f>
        <v>341.49361216906163</v>
      </c>
      <c r="K100" s="549">
        <f>+'Electric &amp; Gas'!$L81</f>
        <v>302.20673643279792</v>
      </c>
      <c r="L100" s="549">
        <f>+'Electric &amp; Gas'!$L82</f>
        <v>238.23964388785569</v>
      </c>
      <c r="M100" s="549">
        <f>+'Electric &amp; Gas'!$L83</f>
        <v>238.74332178191037</v>
      </c>
      <c r="N100" s="549">
        <f>+'Electric &amp; Gas'!$L84</f>
        <v>272.48974068357285</v>
      </c>
      <c r="O100" s="549">
        <f>+'Electric &amp; Gas'!$L85</f>
        <v>304.22144800901663</v>
      </c>
      <c r="P100" s="549">
        <f>+'Electric &amp; Gas'!$L86</f>
        <v>328.23009429228887</v>
      </c>
      <c r="Q100" s="549">
        <f>+'Electric &amp; Gas'!$L87</f>
        <v>392.19718683723107</v>
      </c>
      <c r="R100" s="535">
        <f t="shared" si="6"/>
        <v>4028.0800113864934</v>
      </c>
      <c r="S100" s="535">
        <f t="shared" si="5"/>
        <v>0</v>
      </c>
    </row>
    <row r="101" spans="1:19" s="541" customFormat="1">
      <c r="A101" s="536">
        <f t="shared" si="7"/>
        <v>777</v>
      </c>
      <c r="B101" s="547">
        <v>5110</v>
      </c>
      <c r="C101" s="548" t="s">
        <v>182</v>
      </c>
      <c r="D101" s="538">
        <v>0</v>
      </c>
      <c r="E101" s="549">
        <f>+yrlycomp!J15</f>
        <v>12768.224235590755</v>
      </c>
      <c r="F101" s="549">
        <f>+Heating!$E71</f>
        <v>2548.0763071222304</v>
      </c>
      <c r="G101" s="549">
        <f>+Heating!$E72</f>
        <v>2725.4562047451041</v>
      </c>
      <c r="H101" s="549">
        <f>+Heating!$E73</f>
        <v>1915.5151907316658</v>
      </c>
      <c r="I101" s="549">
        <f>+Heating!$E74</f>
        <v>1056.7712419225161</v>
      </c>
      <c r="J101" s="549">
        <f>+Heating!$E75</f>
        <v>540.1170956717657</v>
      </c>
      <c r="K101" s="549">
        <f>+Heating!$E76</f>
        <v>139.83917854924948</v>
      </c>
      <c r="L101" s="549">
        <f>+Heating!$E77</f>
        <v>18.770359536812013</v>
      </c>
      <c r="M101" s="549">
        <f>+Heating!$E78</f>
        <v>2.3462949421015016</v>
      </c>
      <c r="N101" s="549">
        <f>+Heating!$E79</f>
        <v>76.489215112508944</v>
      </c>
      <c r="O101" s="549">
        <f>+Heating!$E80</f>
        <v>358.51386715310935</v>
      </c>
      <c r="P101" s="549">
        <f>+Heating!$E81</f>
        <v>1241.5028636973075</v>
      </c>
      <c r="Q101" s="549">
        <f>+Heating!$E82</f>
        <v>2144.8264164063858</v>
      </c>
      <c r="R101" s="535">
        <f t="shared" si="6"/>
        <v>12768.224235590755</v>
      </c>
      <c r="S101" s="535">
        <f t="shared" si="5"/>
        <v>0</v>
      </c>
    </row>
    <row r="102" spans="1:19" s="541" customFormat="1">
      <c r="A102" s="536">
        <f t="shared" si="7"/>
        <v>777</v>
      </c>
      <c r="B102" s="547">
        <v>5115</v>
      </c>
      <c r="C102" s="548" t="s">
        <v>183</v>
      </c>
      <c r="D102" s="538">
        <v>0</v>
      </c>
      <c r="E102" s="549">
        <f>+'wtrswr-new'!I21</f>
        <v>4536.2436953807737</v>
      </c>
      <c r="F102" s="549">
        <f t="shared" ref="F102:O102" si="9">+$E$102/4</f>
        <v>1134.0609238451934</v>
      </c>
      <c r="G102" s="549">
        <v>0</v>
      </c>
      <c r="H102" s="549">
        <v>0</v>
      </c>
      <c r="I102" s="549">
        <f t="shared" si="9"/>
        <v>1134.0609238451934</v>
      </c>
      <c r="J102" s="549">
        <v>0</v>
      </c>
      <c r="K102" s="549">
        <v>0</v>
      </c>
      <c r="L102" s="549">
        <f t="shared" si="9"/>
        <v>1134.0609238451934</v>
      </c>
      <c r="M102" s="549">
        <v>0</v>
      </c>
      <c r="N102" s="549">
        <v>0</v>
      </c>
      <c r="O102" s="549">
        <f t="shared" si="9"/>
        <v>1134.0609238451934</v>
      </c>
      <c r="P102" s="549">
        <v>0</v>
      </c>
      <c r="Q102" s="549">
        <v>0</v>
      </c>
      <c r="R102" s="535">
        <f t="shared" si="6"/>
        <v>4536.2436953807737</v>
      </c>
      <c r="S102" s="535">
        <f t="shared" si="5"/>
        <v>0</v>
      </c>
    </row>
    <row r="103" spans="1:19">
      <c r="A103" s="174">
        <f t="shared" si="7"/>
        <v>777</v>
      </c>
      <c r="B103" s="118">
        <v>5122</v>
      </c>
      <c r="C103" s="119" t="s">
        <v>184</v>
      </c>
      <c r="D103" s="113">
        <v>0</v>
      </c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09">
        <f t="shared" si="6"/>
        <v>0</v>
      </c>
      <c r="S103" s="109">
        <f t="shared" si="5"/>
        <v>0</v>
      </c>
    </row>
    <row r="104" spans="1:19">
      <c r="A104" s="174">
        <f t="shared" si="7"/>
        <v>777</v>
      </c>
      <c r="B104" s="118">
        <v>5130</v>
      </c>
      <c r="C104" s="119" t="s">
        <v>185</v>
      </c>
      <c r="D104" s="113">
        <v>0</v>
      </c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09">
        <f t="shared" si="6"/>
        <v>0</v>
      </c>
      <c r="S104" s="109">
        <f t="shared" si="5"/>
        <v>0</v>
      </c>
    </row>
    <row r="105" spans="1:19">
      <c r="A105" s="174">
        <f t="shared" si="7"/>
        <v>777</v>
      </c>
      <c r="B105" s="118">
        <v>5175</v>
      </c>
      <c r="C105" s="119" t="s">
        <v>101</v>
      </c>
      <c r="D105" s="113">
        <v>0</v>
      </c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09">
        <f t="shared" si="6"/>
        <v>0</v>
      </c>
      <c r="S105" s="109">
        <f t="shared" si="5"/>
        <v>0</v>
      </c>
    </row>
    <row r="106" spans="1:19">
      <c r="A106" s="174">
        <f t="shared" si="7"/>
        <v>777</v>
      </c>
      <c r="B106" s="118">
        <v>5176</v>
      </c>
      <c r="C106" s="119" t="s">
        <v>101</v>
      </c>
      <c r="D106" s="113">
        <v>0</v>
      </c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09">
        <f t="shared" si="6"/>
        <v>0</v>
      </c>
      <c r="S106" s="109">
        <f t="shared" si="5"/>
        <v>0</v>
      </c>
    </row>
    <row r="107" spans="1:19">
      <c r="A107" s="174">
        <f t="shared" si="7"/>
        <v>777</v>
      </c>
      <c r="B107" s="118">
        <v>5190</v>
      </c>
      <c r="C107" s="119" t="s">
        <v>101</v>
      </c>
      <c r="D107" s="113">
        <v>0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09">
        <f t="shared" si="6"/>
        <v>0</v>
      </c>
      <c r="S107" s="109">
        <f t="shared" si="5"/>
        <v>0</v>
      </c>
    </row>
    <row r="108" spans="1:19">
      <c r="A108" s="174">
        <f t="shared" si="7"/>
        <v>777</v>
      </c>
      <c r="B108" s="118">
        <v>5195</v>
      </c>
      <c r="C108" s="119" t="s">
        <v>101</v>
      </c>
      <c r="D108" s="113">
        <v>0</v>
      </c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09">
        <f t="shared" si="6"/>
        <v>0</v>
      </c>
      <c r="S108" s="109">
        <f t="shared" si="5"/>
        <v>0</v>
      </c>
    </row>
    <row r="109" spans="1:19">
      <c r="A109" s="174">
        <f t="shared" si="7"/>
        <v>777</v>
      </c>
      <c r="B109" s="118">
        <v>5204</v>
      </c>
      <c r="C109" s="119" t="s">
        <v>101</v>
      </c>
      <c r="D109" s="113">
        <v>0</v>
      </c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09">
        <f t="shared" si="6"/>
        <v>0</v>
      </c>
      <c r="S109" s="109">
        <f t="shared" si="5"/>
        <v>0</v>
      </c>
    </row>
    <row r="110" spans="1:19">
      <c r="A110" s="174">
        <f t="shared" si="7"/>
        <v>777</v>
      </c>
      <c r="B110" s="118">
        <v>5301</v>
      </c>
      <c r="C110" s="119" t="s">
        <v>186</v>
      </c>
      <c r="D110" s="113">
        <v>0</v>
      </c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09">
        <f t="shared" si="6"/>
        <v>0</v>
      </c>
      <c r="S110" s="109">
        <f t="shared" si="5"/>
        <v>0</v>
      </c>
    </row>
    <row r="111" spans="1:19">
      <c r="A111" s="174">
        <f t="shared" si="7"/>
        <v>777</v>
      </c>
      <c r="B111" s="118">
        <v>5305</v>
      </c>
      <c r="C111" s="119" t="s">
        <v>187</v>
      </c>
      <c r="D111" s="113">
        <v>0</v>
      </c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09">
        <f t="shared" si="6"/>
        <v>0</v>
      </c>
      <c r="S111" s="109">
        <f t="shared" si="5"/>
        <v>0</v>
      </c>
    </row>
    <row r="112" spans="1:19">
      <c r="A112" s="174">
        <f t="shared" si="7"/>
        <v>777</v>
      </c>
      <c r="B112" s="118">
        <v>5310</v>
      </c>
      <c r="C112" s="119" t="s">
        <v>188</v>
      </c>
      <c r="D112" s="113">
        <v>0</v>
      </c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09">
        <f t="shared" si="6"/>
        <v>0</v>
      </c>
      <c r="S112" s="109">
        <f t="shared" si="5"/>
        <v>0</v>
      </c>
    </row>
    <row r="113" spans="1:19">
      <c r="A113" s="174">
        <f t="shared" si="7"/>
        <v>777</v>
      </c>
      <c r="B113" s="118">
        <v>5315</v>
      </c>
      <c r="C113" s="119" t="s">
        <v>189</v>
      </c>
      <c r="D113" s="113">
        <v>0</v>
      </c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09">
        <f t="shared" si="6"/>
        <v>0</v>
      </c>
      <c r="S113" s="109">
        <f t="shared" si="5"/>
        <v>0</v>
      </c>
    </row>
    <row r="114" spans="1:19" s="541" customFormat="1">
      <c r="A114" s="536">
        <f t="shared" si="7"/>
        <v>777</v>
      </c>
      <c r="B114" s="547">
        <v>5320</v>
      </c>
      <c r="C114" s="548" t="s">
        <v>190</v>
      </c>
      <c r="D114" s="538">
        <v>0</v>
      </c>
      <c r="E114" s="549">
        <f>+yrlycomp!J23</f>
        <v>600</v>
      </c>
      <c r="F114" s="549">
        <v>0</v>
      </c>
      <c r="G114" s="549">
        <v>0</v>
      </c>
      <c r="H114" s="549">
        <f>+$E$114/4</f>
        <v>150</v>
      </c>
      <c r="I114" s="549">
        <v>0</v>
      </c>
      <c r="J114" s="549">
        <v>0</v>
      </c>
      <c r="K114" s="549">
        <f>+$E$114/4</f>
        <v>150</v>
      </c>
      <c r="L114" s="549">
        <v>0</v>
      </c>
      <c r="M114" s="549">
        <v>0</v>
      </c>
      <c r="N114" s="549">
        <f>+$E$114/4</f>
        <v>150</v>
      </c>
      <c r="O114" s="549">
        <v>0</v>
      </c>
      <c r="P114" s="549">
        <v>0</v>
      </c>
      <c r="Q114" s="549">
        <f>+$E$114/4</f>
        <v>150</v>
      </c>
      <c r="R114" s="535">
        <f t="shared" si="6"/>
        <v>600</v>
      </c>
      <c r="S114" s="535">
        <f t="shared" si="5"/>
        <v>0</v>
      </c>
    </row>
    <row r="115" spans="1:19" s="541" customFormat="1">
      <c r="A115" s="536">
        <f t="shared" si="7"/>
        <v>777</v>
      </c>
      <c r="B115" s="547">
        <v>5401</v>
      </c>
      <c r="C115" s="548" t="s">
        <v>191</v>
      </c>
      <c r="D115" s="538">
        <v>0</v>
      </c>
      <c r="E115" s="549">
        <f>+'other Operating'!J44</f>
        <v>5500</v>
      </c>
      <c r="F115" s="549">
        <f>+$E$115/12</f>
        <v>458.33333333333331</v>
      </c>
      <c r="G115" s="549">
        <f t="shared" ref="G115:Q115" si="10">+$E$115/12</f>
        <v>458.33333333333331</v>
      </c>
      <c r="H115" s="549">
        <f t="shared" si="10"/>
        <v>458.33333333333331</v>
      </c>
      <c r="I115" s="549">
        <f t="shared" si="10"/>
        <v>458.33333333333331</v>
      </c>
      <c r="J115" s="549">
        <f t="shared" si="10"/>
        <v>458.33333333333331</v>
      </c>
      <c r="K115" s="549">
        <f t="shared" si="10"/>
        <v>458.33333333333331</v>
      </c>
      <c r="L115" s="549">
        <f t="shared" si="10"/>
        <v>458.33333333333331</v>
      </c>
      <c r="M115" s="549">
        <f t="shared" si="10"/>
        <v>458.33333333333331</v>
      </c>
      <c r="N115" s="549">
        <f t="shared" si="10"/>
        <v>458.33333333333331</v>
      </c>
      <c r="O115" s="549">
        <f t="shared" si="10"/>
        <v>458.33333333333331</v>
      </c>
      <c r="P115" s="549">
        <f t="shared" si="10"/>
        <v>458.33333333333331</v>
      </c>
      <c r="Q115" s="549">
        <f t="shared" si="10"/>
        <v>458.33333333333331</v>
      </c>
      <c r="R115" s="535">
        <f t="shared" si="6"/>
        <v>5499.9999999999991</v>
      </c>
      <c r="S115" s="535">
        <f t="shared" si="5"/>
        <v>0</v>
      </c>
    </row>
    <row r="116" spans="1:19" s="541" customFormat="1">
      <c r="A116" s="536">
        <f t="shared" si="7"/>
        <v>777</v>
      </c>
      <c r="B116" s="547">
        <v>5405</v>
      </c>
      <c r="C116" s="548" t="s">
        <v>192</v>
      </c>
      <c r="D116" s="538">
        <v>0</v>
      </c>
      <c r="E116" s="549">
        <f>+'other Operating'!J45</f>
        <v>1500</v>
      </c>
      <c r="F116" s="549">
        <f>+$E$116/12</f>
        <v>125</v>
      </c>
      <c r="G116" s="549">
        <f t="shared" ref="G116:Q116" si="11">+$E$116/12</f>
        <v>125</v>
      </c>
      <c r="H116" s="549">
        <f t="shared" si="11"/>
        <v>125</v>
      </c>
      <c r="I116" s="549">
        <f t="shared" si="11"/>
        <v>125</v>
      </c>
      <c r="J116" s="549">
        <f t="shared" si="11"/>
        <v>125</v>
      </c>
      <c r="K116" s="549">
        <f t="shared" si="11"/>
        <v>125</v>
      </c>
      <c r="L116" s="549">
        <f t="shared" si="11"/>
        <v>125</v>
      </c>
      <c r="M116" s="549">
        <f t="shared" si="11"/>
        <v>125</v>
      </c>
      <c r="N116" s="549">
        <f t="shared" si="11"/>
        <v>125</v>
      </c>
      <c r="O116" s="549">
        <f t="shared" si="11"/>
        <v>125</v>
      </c>
      <c r="P116" s="549">
        <f t="shared" si="11"/>
        <v>125</v>
      </c>
      <c r="Q116" s="549">
        <f t="shared" si="11"/>
        <v>125</v>
      </c>
      <c r="R116" s="535">
        <f t="shared" si="6"/>
        <v>1500</v>
      </c>
      <c r="S116" s="535">
        <f t="shared" si="5"/>
        <v>0</v>
      </c>
    </row>
    <row r="117" spans="1:19" s="541" customFormat="1">
      <c r="A117" s="536">
        <f t="shared" si="7"/>
        <v>777</v>
      </c>
      <c r="B117" s="547">
        <v>5410</v>
      </c>
      <c r="C117" s="548" t="s">
        <v>193</v>
      </c>
      <c r="D117" s="538">
        <v>0</v>
      </c>
      <c r="E117" s="549"/>
      <c r="F117" s="549"/>
      <c r="G117" s="549"/>
      <c r="H117" s="549"/>
      <c r="I117" s="549"/>
      <c r="J117" s="549"/>
      <c r="K117" s="549"/>
      <c r="L117" s="549"/>
      <c r="M117" s="549"/>
      <c r="N117" s="549"/>
      <c r="O117" s="549"/>
      <c r="P117" s="549"/>
      <c r="Q117" s="549"/>
      <c r="R117" s="535">
        <f t="shared" si="6"/>
        <v>0</v>
      </c>
      <c r="S117" s="535">
        <f t="shared" si="5"/>
        <v>0</v>
      </c>
    </row>
    <row r="118" spans="1:19" s="541" customFormat="1">
      <c r="A118" s="536">
        <f t="shared" si="7"/>
        <v>777</v>
      </c>
      <c r="B118" s="547">
        <v>5420</v>
      </c>
      <c r="C118" s="548" t="s">
        <v>194</v>
      </c>
      <c r="D118" s="538">
        <v>0</v>
      </c>
      <c r="E118" s="549">
        <f>+'other Operating'!J46</f>
        <v>600</v>
      </c>
      <c r="F118" s="549">
        <f>+$E$118/12</f>
        <v>50</v>
      </c>
      <c r="G118" s="549">
        <f t="shared" ref="G118:Q118" si="12">+$E$118/12</f>
        <v>50</v>
      </c>
      <c r="H118" s="549">
        <f t="shared" si="12"/>
        <v>50</v>
      </c>
      <c r="I118" s="549">
        <f t="shared" si="12"/>
        <v>50</v>
      </c>
      <c r="J118" s="549">
        <f t="shared" si="12"/>
        <v>50</v>
      </c>
      <c r="K118" s="549">
        <f t="shared" si="12"/>
        <v>50</v>
      </c>
      <c r="L118" s="549">
        <f t="shared" si="12"/>
        <v>50</v>
      </c>
      <c r="M118" s="549">
        <f t="shared" si="12"/>
        <v>50</v>
      </c>
      <c r="N118" s="549">
        <f t="shared" si="12"/>
        <v>50</v>
      </c>
      <c r="O118" s="549">
        <f t="shared" si="12"/>
        <v>50</v>
      </c>
      <c r="P118" s="549">
        <f t="shared" si="12"/>
        <v>50</v>
      </c>
      <c r="Q118" s="549">
        <f t="shared" si="12"/>
        <v>50</v>
      </c>
      <c r="R118" s="535">
        <f t="shared" si="6"/>
        <v>600</v>
      </c>
      <c r="S118" s="535">
        <f t="shared" si="5"/>
        <v>0</v>
      </c>
    </row>
    <row r="119" spans="1:19" s="541" customFormat="1">
      <c r="A119" s="536">
        <f t="shared" si="7"/>
        <v>777</v>
      </c>
      <c r="B119" s="547">
        <v>5425</v>
      </c>
      <c r="C119" s="548" t="s">
        <v>195</v>
      </c>
      <c r="D119" s="538">
        <v>0</v>
      </c>
      <c r="E119" s="549">
        <f>+'other Operating'!J47</f>
        <v>700</v>
      </c>
      <c r="F119" s="549">
        <f>+$E$119/12</f>
        <v>58.333333333333336</v>
      </c>
      <c r="G119" s="549">
        <f t="shared" ref="G119:Q119" si="13">+$E$119/12</f>
        <v>58.333333333333336</v>
      </c>
      <c r="H119" s="549">
        <f t="shared" si="13"/>
        <v>58.333333333333336</v>
      </c>
      <c r="I119" s="549">
        <f t="shared" si="13"/>
        <v>58.333333333333336</v>
      </c>
      <c r="J119" s="549">
        <f t="shared" si="13"/>
        <v>58.333333333333336</v>
      </c>
      <c r="K119" s="549">
        <f t="shared" si="13"/>
        <v>58.333333333333336</v>
      </c>
      <c r="L119" s="549">
        <f t="shared" si="13"/>
        <v>58.333333333333336</v>
      </c>
      <c r="M119" s="549">
        <f t="shared" si="13"/>
        <v>58.333333333333336</v>
      </c>
      <c r="N119" s="549">
        <f t="shared" si="13"/>
        <v>58.333333333333336</v>
      </c>
      <c r="O119" s="549">
        <f t="shared" si="13"/>
        <v>58.333333333333336</v>
      </c>
      <c r="P119" s="549">
        <f t="shared" si="13"/>
        <v>58.333333333333336</v>
      </c>
      <c r="Q119" s="549">
        <f t="shared" si="13"/>
        <v>58.333333333333336</v>
      </c>
      <c r="R119" s="535">
        <f t="shared" si="6"/>
        <v>700.00000000000011</v>
      </c>
      <c r="S119" s="535">
        <f t="shared" si="5"/>
        <v>0</v>
      </c>
    </row>
    <row r="120" spans="1:19">
      <c r="A120" s="174">
        <f t="shared" si="7"/>
        <v>777</v>
      </c>
      <c r="B120" s="118">
        <v>5426</v>
      </c>
      <c r="C120" s="119" t="s">
        <v>196</v>
      </c>
      <c r="D120" s="113">
        <v>0</v>
      </c>
      <c r="E120" s="178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09">
        <f t="shared" si="6"/>
        <v>0</v>
      </c>
      <c r="S120" s="109">
        <f t="shared" si="5"/>
        <v>0</v>
      </c>
    </row>
    <row r="121" spans="1:19">
      <c r="A121" s="174">
        <f t="shared" si="7"/>
        <v>777</v>
      </c>
      <c r="B121" s="118">
        <v>5430</v>
      </c>
      <c r="C121" s="119" t="s">
        <v>197</v>
      </c>
      <c r="D121" s="113">
        <v>0</v>
      </c>
      <c r="E121" s="178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09">
        <f t="shared" si="6"/>
        <v>0</v>
      </c>
      <c r="S121" s="109">
        <f t="shared" si="5"/>
        <v>0</v>
      </c>
    </row>
    <row r="122" spans="1:19" s="541" customFormat="1">
      <c r="A122" s="536">
        <f t="shared" si="7"/>
        <v>777</v>
      </c>
      <c r="B122" s="547">
        <v>5435</v>
      </c>
      <c r="C122" s="548" t="s">
        <v>198</v>
      </c>
      <c r="D122" s="538">
        <v>0</v>
      </c>
      <c r="E122" s="549">
        <f>+yrlycomp!J22</f>
        <v>24000</v>
      </c>
      <c r="F122" s="549">
        <f>+$E$122/12</f>
        <v>2000</v>
      </c>
      <c r="G122" s="549">
        <f t="shared" ref="G122:Q122" si="14">+$E$122/12</f>
        <v>2000</v>
      </c>
      <c r="H122" s="549">
        <f t="shared" si="14"/>
        <v>2000</v>
      </c>
      <c r="I122" s="549">
        <f t="shared" si="14"/>
        <v>2000</v>
      </c>
      <c r="J122" s="549">
        <f t="shared" si="14"/>
        <v>2000</v>
      </c>
      <c r="K122" s="549">
        <f t="shared" si="14"/>
        <v>2000</v>
      </c>
      <c r="L122" s="549">
        <f t="shared" si="14"/>
        <v>2000</v>
      </c>
      <c r="M122" s="549">
        <f t="shared" si="14"/>
        <v>2000</v>
      </c>
      <c r="N122" s="549">
        <f t="shared" si="14"/>
        <v>2000</v>
      </c>
      <c r="O122" s="549">
        <f t="shared" si="14"/>
        <v>2000</v>
      </c>
      <c r="P122" s="549">
        <f t="shared" si="14"/>
        <v>2000</v>
      </c>
      <c r="Q122" s="549">
        <f t="shared" si="14"/>
        <v>2000</v>
      </c>
      <c r="R122" s="535">
        <f t="shared" si="6"/>
        <v>24000</v>
      </c>
      <c r="S122" s="535">
        <f t="shared" si="5"/>
        <v>0</v>
      </c>
    </row>
    <row r="123" spans="1:19" s="541" customFormat="1">
      <c r="A123" s="536">
        <f t="shared" si="7"/>
        <v>777</v>
      </c>
      <c r="B123" s="547">
        <v>5440</v>
      </c>
      <c r="C123" s="548" t="s">
        <v>199</v>
      </c>
      <c r="D123" s="538">
        <v>0</v>
      </c>
      <c r="E123" s="549">
        <f>+'other Operating'!J48</f>
        <v>120</v>
      </c>
      <c r="F123" s="549">
        <v>0</v>
      </c>
      <c r="G123" s="549">
        <v>0</v>
      </c>
      <c r="H123" s="549">
        <v>0</v>
      </c>
      <c r="I123" s="549">
        <v>0</v>
      </c>
      <c r="J123" s="549">
        <v>0</v>
      </c>
      <c r="K123" s="549">
        <v>100</v>
      </c>
      <c r="L123" s="549">
        <v>0</v>
      </c>
      <c r="M123" s="549">
        <v>0</v>
      </c>
      <c r="N123" s="549">
        <v>0</v>
      </c>
      <c r="O123" s="549">
        <v>0</v>
      </c>
      <c r="P123" s="549">
        <v>0</v>
      </c>
      <c r="Q123" s="549">
        <v>0</v>
      </c>
      <c r="R123" s="535">
        <f t="shared" si="6"/>
        <v>100</v>
      </c>
      <c r="S123" s="535">
        <f t="shared" si="5"/>
        <v>20</v>
      </c>
    </row>
    <row r="124" spans="1:19">
      <c r="A124" s="174">
        <f t="shared" si="7"/>
        <v>777</v>
      </c>
      <c r="B124" s="118">
        <v>5490</v>
      </c>
      <c r="C124" s="119" t="s">
        <v>101</v>
      </c>
      <c r="D124" s="113">
        <v>0</v>
      </c>
      <c r="E124" s="178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09">
        <f t="shared" si="6"/>
        <v>0</v>
      </c>
      <c r="S124" s="109">
        <f t="shared" si="5"/>
        <v>0</v>
      </c>
    </row>
    <row r="125" spans="1:19">
      <c r="A125" s="174">
        <f t="shared" si="7"/>
        <v>777</v>
      </c>
      <c r="B125" s="118">
        <v>5500</v>
      </c>
      <c r="C125" s="119" t="s">
        <v>200</v>
      </c>
      <c r="D125" s="113">
        <v>0</v>
      </c>
      <c r="E125" s="178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09">
        <f t="shared" si="6"/>
        <v>0</v>
      </c>
      <c r="S125" s="109">
        <f t="shared" si="5"/>
        <v>0</v>
      </c>
    </row>
    <row r="126" spans="1:19">
      <c r="A126" s="174">
        <f t="shared" si="7"/>
        <v>777</v>
      </c>
      <c r="B126" s="118">
        <v>5504</v>
      </c>
      <c r="C126" s="119" t="s">
        <v>201</v>
      </c>
      <c r="D126" s="113">
        <v>0</v>
      </c>
      <c r="E126" s="178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09">
        <f t="shared" si="6"/>
        <v>0</v>
      </c>
      <c r="S126" s="109">
        <f t="shared" si="5"/>
        <v>0</v>
      </c>
    </row>
    <row r="127" spans="1:19" s="541" customFormat="1">
      <c r="A127" s="536">
        <f t="shared" si="7"/>
        <v>777</v>
      </c>
      <c r="B127" s="547">
        <v>5505</v>
      </c>
      <c r="C127" s="548" t="s">
        <v>202</v>
      </c>
      <c r="D127" s="538">
        <v>0</v>
      </c>
      <c r="E127" s="549">
        <f>+yrlycomp!J21</f>
        <v>12235.34</v>
      </c>
      <c r="F127" s="549">
        <f>+'Other operating 2'!J11-Q127</f>
        <v>11654.34</v>
      </c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>
        <v>581</v>
      </c>
      <c r="R127" s="535">
        <f>SUM(F127:Q127)</f>
        <v>12235.34</v>
      </c>
      <c r="S127" s="535">
        <f t="shared" si="5"/>
        <v>0</v>
      </c>
    </row>
    <row r="128" spans="1:19">
      <c r="A128" s="174">
        <f t="shared" si="7"/>
        <v>777</v>
      </c>
      <c r="B128" s="118">
        <v>5508</v>
      </c>
      <c r="C128" s="119" t="s">
        <v>203</v>
      </c>
      <c r="D128" s="113">
        <v>0</v>
      </c>
      <c r="E128" s="178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09">
        <f t="shared" si="6"/>
        <v>0</v>
      </c>
      <c r="S128" s="109">
        <f t="shared" si="5"/>
        <v>0</v>
      </c>
    </row>
    <row r="129" spans="1:19">
      <c r="A129" s="174">
        <f t="shared" si="7"/>
        <v>777</v>
      </c>
      <c r="B129" s="118">
        <v>5509</v>
      </c>
      <c r="C129" s="119" t="s">
        <v>204</v>
      </c>
      <c r="D129" s="113">
        <v>0</v>
      </c>
      <c r="E129" s="178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09">
        <f t="shared" si="6"/>
        <v>0</v>
      </c>
      <c r="S129" s="109">
        <f t="shared" si="5"/>
        <v>0</v>
      </c>
    </row>
    <row r="130" spans="1:19">
      <c r="A130" s="174">
        <f t="shared" si="7"/>
        <v>777</v>
      </c>
      <c r="B130" s="118">
        <v>5510</v>
      </c>
      <c r="C130" s="119" t="s">
        <v>205</v>
      </c>
      <c r="D130" s="113">
        <v>0</v>
      </c>
      <c r="E130" s="178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09">
        <f t="shared" si="6"/>
        <v>0</v>
      </c>
      <c r="S130" s="109">
        <f t="shared" si="5"/>
        <v>0</v>
      </c>
    </row>
    <row r="131" spans="1:19">
      <c r="A131" s="174">
        <f t="shared" si="7"/>
        <v>777</v>
      </c>
      <c r="B131" s="118">
        <v>5511</v>
      </c>
      <c r="C131" s="119" t="s">
        <v>206</v>
      </c>
      <c r="D131" s="113">
        <v>0</v>
      </c>
      <c r="E131" s="178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09">
        <f t="shared" si="6"/>
        <v>0</v>
      </c>
      <c r="S131" s="109">
        <f t="shared" si="5"/>
        <v>0</v>
      </c>
    </row>
    <row r="132" spans="1:19" s="541" customFormat="1">
      <c r="A132" s="536">
        <f t="shared" si="7"/>
        <v>777</v>
      </c>
      <c r="B132" s="547">
        <v>5515</v>
      </c>
      <c r="C132" s="548" t="s">
        <v>207</v>
      </c>
      <c r="D132" s="538">
        <v>0</v>
      </c>
      <c r="E132" s="549">
        <f>+'other Operating'!J33</f>
        <v>3500</v>
      </c>
      <c r="F132" s="549">
        <f>+$E$132/12</f>
        <v>291.66666666666669</v>
      </c>
      <c r="G132" s="549">
        <f t="shared" ref="G132:Q132" si="15">+$E$132/12</f>
        <v>291.66666666666669</v>
      </c>
      <c r="H132" s="549">
        <f t="shared" si="15"/>
        <v>291.66666666666669</v>
      </c>
      <c r="I132" s="549">
        <f t="shared" si="15"/>
        <v>291.66666666666669</v>
      </c>
      <c r="J132" s="549">
        <f t="shared" si="15"/>
        <v>291.66666666666669</v>
      </c>
      <c r="K132" s="549">
        <f t="shared" si="15"/>
        <v>291.66666666666669</v>
      </c>
      <c r="L132" s="549">
        <f t="shared" si="15"/>
        <v>291.66666666666669</v>
      </c>
      <c r="M132" s="549">
        <f t="shared" si="15"/>
        <v>291.66666666666669</v>
      </c>
      <c r="N132" s="549">
        <f t="shared" si="15"/>
        <v>291.66666666666669</v>
      </c>
      <c r="O132" s="549">
        <f t="shared" si="15"/>
        <v>291.66666666666669</v>
      </c>
      <c r="P132" s="549">
        <f t="shared" si="15"/>
        <v>291.66666666666669</v>
      </c>
      <c r="Q132" s="549">
        <f t="shared" si="15"/>
        <v>291.66666666666669</v>
      </c>
      <c r="R132" s="535">
        <f t="shared" si="6"/>
        <v>3499.9999999999995</v>
      </c>
      <c r="S132" s="535">
        <f t="shared" si="5"/>
        <v>0</v>
      </c>
    </row>
    <row r="133" spans="1:19" s="541" customFormat="1">
      <c r="A133" s="536">
        <f t="shared" si="7"/>
        <v>777</v>
      </c>
      <c r="B133" s="547">
        <v>5525</v>
      </c>
      <c r="C133" s="548" t="s">
        <v>208</v>
      </c>
      <c r="D133" s="538">
        <v>0</v>
      </c>
      <c r="E133" s="549"/>
      <c r="F133" s="549"/>
      <c r="G133" s="549"/>
      <c r="H133" s="549"/>
      <c r="I133" s="549"/>
      <c r="J133" s="549"/>
      <c r="K133" s="549"/>
      <c r="L133" s="549"/>
      <c r="M133" s="549"/>
      <c r="N133" s="549"/>
      <c r="O133" s="549"/>
      <c r="P133" s="549"/>
      <c r="Q133" s="549"/>
      <c r="R133" s="535">
        <f t="shared" si="6"/>
        <v>0</v>
      </c>
      <c r="S133" s="535">
        <f t="shared" si="5"/>
        <v>0</v>
      </c>
    </row>
    <row r="134" spans="1:19" s="541" customFormat="1">
      <c r="A134" s="536">
        <f t="shared" si="7"/>
        <v>777</v>
      </c>
      <c r="B134" s="547">
        <v>5535</v>
      </c>
      <c r="C134" s="548" t="s">
        <v>209</v>
      </c>
      <c r="D134" s="538">
        <v>0</v>
      </c>
      <c r="E134" s="549"/>
      <c r="F134" s="549"/>
      <c r="G134" s="549"/>
      <c r="H134" s="549"/>
      <c r="I134" s="549"/>
      <c r="J134" s="549"/>
      <c r="K134" s="549"/>
      <c r="L134" s="549"/>
      <c r="M134" s="549"/>
      <c r="N134" s="549"/>
      <c r="O134" s="549"/>
      <c r="P134" s="549"/>
      <c r="Q134" s="549"/>
      <c r="R134" s="535">
        <f t="shared" si="6"/>
        <v>0</v>
      </c>
      <c r="S134" s="535">
        <f t="shared" ref="S134:S197" si="16">+E134-R134</f>
        <v>0</v>
      </c>
    </row>
    <row r="135" spans="1:19" s="541" customFormat="1">
      <c r="A135" s="536">
        <f t="shared" si="7"/>
        <v>777</v>
      </c>
      <c r="B135" s="547">
        <v>5540</v>
      </c>
      <c r="C135" s="548" t="s">
        <v>210</v>
      </c>
      <c r="D135" s="538">
        <v>0</v>
      </c>
      <c r="E135" s="549">
        <f>+'other Operating'!J34</f>
        <v>300</v>
      </c>
      <c r="F135" s="549">
        <f>+$E$135/12</f>
        <v>25</v>
      </c>
      <c r="G135" s="549">
        <f t="shared" ref="G135:Q135" si="17">+$E$135/12</f>
        <v>25</v>
      </c>
      <c r="H135" s="549">
        <f t="shared" si="17"/>
        <v>25</v>
      </c>
      <c r="I135" s="549">
        <f t="shared" si="17"/>
        <v>25</v>
      </c>
      <c r="J135" s="549">
        <f t="shared" si="17"/>
        <v>25</v>
      </c>
      <c r="K135" s="549">
        <f t="shared" si="17"/>
        <v>25</v>
      </c>
      <c r="L135" s="549">
        <f t="shared" si="17"/>
        <v>25</v>
      </c>
      <c r="M135" s="549">
        <f t="shared" si="17"/>
        <v>25</v>
      </c>
      <c r="N135" s="549">
        <f t="shared" si="17"/>
        <v>25</v>
      </c>
      <c r="O135" s="549">
        <f t="shared" si="17"/>
        <v>25</v>
      </c>
      <c r="P135" s="549">
        <f t="shared" si="17"/>
        <v>25</v>
      </c>
      <c r="Q135" s="549">
        <f t="shared" si="17"/>
        <v>25</v>
      </c>
      <c r="R135" s="535">
        <f t="shared" ref="R135:R198" si="18">SUM(F135:Q135)</f>
        <v>300</v>
      </c>
      <c r="S135" s="535">
        <f t="shared" si="16"/>
        <v>0</v>
      </c>
    </row>
    <row r="136" spans="1:19" s="541" customFormat="1">
      <c r="A136" s="536">
        <f t="shared" si="7"/>
        <v>777</v>
      </c>
      <c r="B136" s="547">
        <v>5550</v>
      </c>
      <c r="C136" s="548" t="s">
        <v>211</v>
      </c>
      <c r="D136" s="538">
        <v>0</v>
      </c>
      <c r="E136" s="549"/>
      <c r="F136" s="549"/>
      <c r="G136" s="549"/>
      <c r="H136" s="549"/>
      <c r="I136" s="549"/>
      <c r="J136" s="549"/>
      <c r="K136" s="549"/>
      <c r="L136" s="549"/>
      <c r="M136" s="549"/>
      <c r="N136" s="549"/>
      <c r="O136" s="549"/>
      <c r="P136" s="549"/>
      <c r="Q136" s="549"/>
      <c r="R136" s="535">
        <f t="shared" si="18"/>
        <v>0</v>
      </c>
      <c r="S136" s="535">
        <f t="shared" si="16"/>
        <v>0</v>
      </c>
    </row>
    <row r="137" spans="1:19" s="541" customFormat="1">
      <c r="A137" s="536">
        <f t="shared" ref="A137:A200" si="19">+A136</f>
        <v>777</v>
      </c>
      <c r="B137" s="547">
        <v>5551</v>
      </c>
      <c r="C137" s="548" t="s">
        <v>212</v>
      </c>
      <c r="D137" s="538">
        <v>0</v>
      </c>
      <c r="E137" s="549"/>
      <c r="F137" s="549"/>
      <c r="G137" s="549"/>
      <c r="H137" s="549"/>
      <c r="I137" s="549"/>
      <c r="J137" s="549"/>
      <c r="K137" s="549"/>
      <c r="L137" s="549"/>
      <c r="M137" s="549"/>
      <c r="N137" s="549"/>
      <c r="O137" s="549"/>
      <c r="P137" s="549"/>
      <c r="Q137" s="549"/>
      <c r="R137" s="535">
        <f t="shared" si="18"/>
        <v>0</v>
      </c>
      <c r="S137" s="535">
        <f t="shared" si="16"/>
        <v>0</v>
      </c>
    </row>
    <row r="138" spans="1:19" s="541" customFormat="1">
      <c r="A138" s="536">
        <f t="shared" si="19"/>
        <v>777</v>
      </c>
      <c r="B138" s="547">
        <v>5555</v>
      </c>
      <c r="C138" s="548" t="s">
        <v>213</v>
      </c>
      <c r="D138" s="538">
        <v>0</v>
      </c>
      <c r="E138" s="549"/>
      <c r="F138" s="549"/>
      <c r="G138" s="549"/>
      <c r="H138" s="549"/>
      <c r="I138" s="549"/>
      <c r="J138" s="549"/>
      <c r="K138" s="549"/>
      <c r="L138" s="549"/>
      <c r="M138" s="549"/>
      <c r="N138" s="549"/>
      <c r="O138" s="549"/>
      <c r="P138" s="549"/>
      <c r="Q138" s="549"/>
      <c r="R138" s="535">
        <f t="shared" si="18"/>
        <v>0</v>
      </c>
      <c r="S138" s="535">
        <f t="shared" si="16"/>
        <v>0</v>
      </c>
    </row>
    <row r="139" spans="1:19" s="541" customFormat="1">
      <c r="A139" s="536">
        <f t="shared" si="19"/>
        <v>777</v>
      </c>
      <c r="B139" s="547">
        <v>5560</v>
      </c>
      <c r="C139" s="548" t="s">
        <v>214</v>
      </c>
      <c r="D139" s="538">
        <v>0</v>
      </c>
      <c r="E139" s="549">
        <f>+'other Operating'!J36</f>
        <v>650</v>
      </c>
      <c r="F139" s="549">
        <f>+$E$139/12</f>
        <v>54.166666666666664</v>
      </c>
      <c r="G139" s="549">
        <f t="shared" ref="G139:Q139" si="20">+$E$139/12</f>
        <v>54.166666666666664</v>
      </c>
      <c r="H139" s="549">
        <f t="shared" si="20"/>
        <v>54.166666666666664</v>
      </c>
      <c r="I139" s="549">
        <f t="shared" si="20"/>
        <v>54.166666666666664</v>
      </c>
      <c r="J139" s="549">
        <f t="shared" si="20"/>
        <v>54.166666666666664</v>
      </c>
      <c r="K139" s="549">
        <f t="shared" si="20"/>
        <v>54.166666666666664</v>
      </c>
      <c r="L139" s="549">
        <f t="shared" si="20"/>
        <v>54.166666666666664</v>
      </c>
      <c r="M139" s="549">
        <f t="shared" si="20"/>
        <v>54.166666666666664</v>
      </c>
      <c r="N139" s="549">
        <f t="shared" si="20"/>
        <v>54.166666666666664</v>
      </c>
      <c r="O139" s="549">
        <f t="shared" si="20"/>
        <v>54.166666666666664</v>
      </c>
      <c r="P139" s="549">
        <f t="shared" si="20"/>
        <v>54.166666666666664</v>
      </c>
      <c r="Q139" s="549">
        <f t="shared" si="20"/>
        <v>54.166666666666664</v>
      </c>
      <c r="R139" s="535">
        <f t="shared" si="18"/>
        <v>650</v>
      </c>
      <c r="S139" s="535">
        <f t="shared" si="16"/>
        <v>0</v>
      </c>
    </row>
    <row r="140" spans="1:19" s="541" customFormat="1">
      <c r="A140" s="536">
        <f t="shared" si="19"/>
        <v>777</v>
      </c>
      <c r="B140" s="547">
        <v>5565</v>
      </c>
      <c r="C140" s="548" t="s">
        <v>215</v>
      </c>
      <c r="D140" s="538">
        <v>0</v>
      </c>
      <c r="E140" s="549">
        <f>+'other Operating'!J37</f>
        <v>5900</v>
      </c>
      <c r="F140" s="549">
        <f>+$E$140/12</f>
        <v>491.66666666666669</v>
      </c>
      <c r="G140" s="549">
        <f t="shared" ref="G140:Q140" si="21">+$E$140/12</f>
        <v>491.66666666666669</v>
      </c>
      <c r="H140" s="549">
        <f t="shared" si="21"/>
        <v>491.66666666666669</v>
      </c>
      <c r="I140" s="549">
        <f t="shared" si="21"/>
        <v>491.66666666666669</v>
      </c>
      <c r="J140" s="549">
        <f t="shared" si="21"/>
        <v>491.66666666666669</v>
      </c>
      <c r="K140" s="549">
        <f t="shared" si="21"/>
        <v>491.66666666666669</v>
      </c>
      <c r="L140" s="549">
        <f t="shared" si="21"/>
        <v>491.66666666666669</v>
      </c>
      <c r="M140" s="549">
        <f t="shared" si="21"/>
        <v>491.66666666666669</v>
      </c>
      <c r="N140" s="549">
        <f t="shared" si="21"/>
        <v>491.66666666666669</v>
      </c>
      <c r="O140" s="549">
        <f t="shared" si="21"/>
        <v>491.66666666666669</v>
      </c>
      <c r="P140" s="549">
        <f t="shared" si="21"/>
        <v>491.66666666666669</v>
      </c>
      <c r="Q140" s="549">
        <f t="shared" si="21"/>
        <v>491.66666666666669</v>
      </c>
      <c r="R140" s="535">
        <f t="shared" si="18"/>
        <v>5900.0000000000009</v>
      </c>
      <c r="S140" s="535">
        <f t="shared" si="16"/>
        <v>0</v>
      </c>
    </row>
    <row r="141" spans="1:19">
      <c r="A141" s="174">
        <f t="shared" si="19"/>
        <v>777</v>
      </c>
      <c r="B141" s="118">
        <v>5570</v>
      </c>
      <c r="C141" s="119" t="s">
        <v>216</v>
      </c>
      <c r="D141" s="113">
        <v>0</v>
      </c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09">
        <f t="shared" si="18"/>
        <v>0</v>
      </c>
      <c r="S141" s="109">
        <f t="shared" si="16"/>
        <v>0</v>
      </c>
    </row>
    <row r="142" spans="1:19">
      <c r="A142" s="174">
        <f t="shared" si="19"/>
        <v>777</v>
      </c>
      <c r="B142" s="118">
        <v>5600</v>
      </c>
      <c r="C142" s="119" t="s">
        <v>217</v>
      </c>
      <c r="D142" s="113">
        <v>0</v>
      </c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09">
        <f t="shared" si="18"/>
        <v>0</v>
      </c>
      <c r="S142" s="109">
        <f t="shared" si="16"/>
        <v>0</v>
      </c>
    </row>
    <row r="143" spans="1:19">
      <c r="A143" s="174">
        <f t="shared" si="19"/>
        <v>777</v>
      </c>
      <c r="B143" s="118">
        <v>5601</v>
      </c>
      <c r="C143" s="119" t="s">
        <v>218</v>
      </c>
      <c r="D143" s="113">
        <v>0</v>
      </c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09">
        <f t="shared" si="18"/>
        <v>0</v>
      </c>
      <c r="S143" s="109">
        <f t="shared" si="16"/>
        <v>0</v>
      </c>
    </row>
    <row r="144" spans="1:19">
      <c r="A144" s="174">
        <f t="shared" si="19"/>
        <v>777</v>
      </c>
      <c r="B144" s="118">
        <v>5604</v>
      </c>
      <c r="C144" s="119" t="s">
        <v>219</v>
      </c>
      <c r="D144" s="113">
        <v>0</v>
      </c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09">
        <f t="shared" si="18"/>
        <v>0</v>
      </c>
      <c r="S144" s="109">
        <f t="shared" si="16"/>
        <v>0</v>
      </c>
    </row>
    <row r="145" spans="1:19">
      <c r="A145" s="174">
        <f t="shared" si="19"/>
        <v>777</v>
      </c>
      <c r="B145" s="118">
        <v>5605</v>
      </c>
      <c r="C145" s="119" t="s">
        <v>220</v>
      </c>
      <c r="D145" s="113">
        <v>0</v>
      </c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09">
        <f t="shared" si="18"/>
        <v>0</v>
      </c>
      <c r="S145" s="109">
        <f t="shared" si="16"/>
        <v>0</v>
      </c>
    </row>
    <row r="146" spans="1:19">
      <c r="A146" s="174">
        <f t="shared" si="19"/>
        <v>777</v>
      </c>
      <c r="B146" s="118">
        <v>5610</v>
      </c>
      <c r="C146" s="119" t="s">
        <v>221</v>
      </c>
      <c r="D146" s="113">
        <v>0</v>
      </c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09">
        <f t="shared" si="18"/>
        <v>0</v>
      </c>
      <c r="S146" s="109">
        <f t="shared" si="16"/>
        <v>0</v>
      </c>
    </row>
    <row r="147" spans="1:19">
      <c r="A147" s="174">
        <f t="shared" si="19"/>
        <v>777</v>
      </c>
      <c r="B147" s="118">
        <v>5615</v>
      </c>
      <c r="C147" s="119" t="s">
        <v>222</v>
      </c>
      <c r="D147" s="113">
        <v>0</v>
      </c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09">
        <f t="shared" si="18"/>
        <v>0</v>
      </c>
      <c r="S147" s="109">
        <f t="shared" si="16"/>
        <v>0</v>
      </c>
    </row>
    <row r="148" spans="1:19" s="541" customFormat="1">
      <c r="A148" s="536">
        <f t="shared" si="19"/>
        <v>777</v>
      </c>
      <c r="B148" s="547">
        <v>5616</v>
      </c>
      <c r="C148" s="548" t="s">
        <v>223</v>
      </c>
      <c r="D148" s="538">
        <v>0</v>
      </c>
      <c r="E148" s="549">
        <f>+'other Operating'!J39</f>
        <v>200</v>
      </c>
      <c r="F148" s="549">
        <f>+$E$148/12</f>
        <v>16.666666666666668</v>
      </c>
      <c r="G148" s="549">
        <f t="shared" ref="G148:Q148" si="22">+$E$148/12</f>
        <v>16.666666666666668</v>
      </c>
      <c r="H148" s="549">
        <f t="shared" si="22"/>
        <v>16.666666666666668</v>
      </c>
      <c r="I148" s="549">
        <f t="shared" si="22"/>
        <v>16.666666666666668</v>
      </c>
      <c r="J148" s="549">
        <f t="shared" si="22"/>
        <v>16.666666666666668</v>
      </c>
      <c r="K148" s="549">
        <f t="shared" si="22"/>
        <v>16.666666666666668</v>
      </c>
      <c r="L148" s="549">
        <f t="shared" si="22"/>
        <v>16.666666666666668</v>
      </c>
      <c r="M148" s="549">
        <f t="shared" si="22"/>
        <v>16.666666666666668</v>
      </c>
      <c r="N148" s="549">
        <f t="shared" si="22"/>
        <v>16.666666666666668</v>
      </c>
      <c r="O148" s="549">
        <f t="shared" si="22"/>
        <v>16.666666666666668</v>
      </c>
      <c r="P148" s="549">
        <f t="shared" si="22"/>
        <v>16.666666666666668</v>
      </c>
      <c r="Q148" s="549">
        <f t="shared" si="22"/>
        <v>16.666666666666668</v>
      </c>
      <c r="R148" s="535">
        <f t="shared" si="18"/>
        <v>199.99999999999997</v>
      </c>
      <c r="S148" s="535">
        <f t="shared" si="16"/>
        <v>0</v>
      </c>
    </row>
    <row r="149" spans="1:19">
      <c r="A149" s="174">
        <f t="shared" si="19"/>
        <v>777</v>
      </c>
      <c r="B149" s="118">
        <v>5625</v>
      </c>
      <c r="C149" s="119" t="s">
        <v>224</v>
      </c>
      <c r="D149" s="113">
        <v>0</v>
      </c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09">
        <f t="shared" si="18"/>
        <v>0</v>
      </c>
      <c r="S149" s="109">
        <f t="shared" si="16"/>
        <v>0</v>
      </c>
    </row>
    <row r="150" spans="1:19" s="541" customFormat="1">
      <c r="A150" s="536">
        <f t="shared" si="19"/>
        <v>777</v>
      </c>
      <c r="B150" s="547">
        <v>5626</v>
      </c>
      <c r="C150" s="548" t="s">
        <v>225</v>
      </c>
      <c r="D150" s="538">
        <v>0</v>
      </c>
      <c r="E150" s="549">
        <f>+'other Operating'!J40</f>
        <v>670</v>
      </c>
      <c r="F150" s="549"/>
      <c r="G150" s="549"/>
      <c r="H150" s="549"/>
      <c r="I150" s="549"/>
      <c r="J150" s="549"/>
      <c r="K150" s="549"/>
      <c r="L150" s="549"/>
      <c r="M150" s="549"/>
      <c r="N150" s="549"/>
      <c r="O150" s="549"/>
      <c r="P150" s="549"/>
      <c r="Q150" s="549"/>
      <c r="R150" s="535">
        <f t="shared" si="18"/>
        <v>0</v>
      </c>
      <c r="S150" s="535">
        <f t="shared" si="16"/>
        <v>670</v>
      </c>
    </row>
    <row r="151" spans="1:19">
      <c r="A151" s="174">
        <f t="shared" si="19"/>
        <v>777</v>
      </c>
      <c r="B151" s="118">
        <v>5630</v>
      </c>
      <c r="C151" s="119" t="s">
        <v>226</v>
      </c>
      <c r="D151" s="113">
        <v>0</v>
      </c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09">
        <f t="shared" si="18"/>
        <v>0</v>
      </c>
      <c r="S151" s="109">
        <f t="shared" si="16"/>
        <v>0</v>
      </c>
    </row>
    <row r="152" spans="1:19">
      <c r="A152" s="174">
        <f t="shared" si="19"/>
        <v>777</v>
      </c>
      <c r="B152" s="118">
        <v>5700</v>
      </c>
      <c r="C152" s="119" t="s">
        <v>227</v>
      </c>
      <c r="D152" s="113">
        <v>0</v>
      </c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09">
        <f t="shared" si="18"/>
        <v>0</v>
      </c>
      <c r="S152" s="109">
        <f t="shared" si="16"/>
        <v>0</v>
      </c>
    </row>
    <row r="153" spans="1:19">
      <c r="A153" s="174">
        <f t="shared" si="19"/>
        <v>777</v>
      </c>
      <c r="B153" s="118">
        <v>5701</v>
      </c>
      <c r="C153" s="119" t="s">
        <v>228</v>
      </c>
      <c r="D153" s="113">
        <v>0</v>
      </c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09">
        <f t="shared" si="18"/>
        <v>0</v>
      </c>
      <c r="S153" s="109">
        <f t="shared" si="16"/>
        <v>0</v>
      </c>
    </row>
    <row r="154" spans="1:19" s="541" customFormat="1">
      <c r="A154" s="536">
        <f t="shared" si="19"/>
        <v>777</v>
      </c>
      <c r="B154" s="547">
        <v>5702</v>
      </c>
      <c r="C154" s="548" t="s">
        <v>229</v>
      </c>
      <c r="D154" s="538">
        <v>0</v>
      </c>
      <c r="E154" s="549">
        <f>+'other Operating'!J10</f>
        <v>2000</v>
      </c>
      <c r="F154" s="549">
        <v>0</v>
      </c>
      <c r="G154" s="549">
        <v>0</v>
      </c>
      <c r="H154" s="549">
        <v>0</v>
      </c>
      <c r="I154" s="549">
        <f>E154</f>
        <v>2000</v>
      </c>
      <c r="J154" s="549">
        <v>0</v>
      </c>
      <c r="K154" s="549">
        <v>0</v>
      </c>
      <c r="L154" s="549">
        <v>0</v>
      </c>
      <c r="M154" s="549">
        <v>0</v>
      </c>
      <c r="N154" s="549">
        <v>0</v>
      </c>
      <c r="O154" s="549">
        <v>0</v>
      </c>
      <c r="P154" s="549">
        <v>0</v>
      </c>
      <c r="Q154" s="549">
        <v>0</v>
      </c>
      <c r="R154" s="535">
        <f t="shared" si="18"/>
        <v>2000</v>
      </c>
      <c r="S154" s="535">
        <f>+E154-R154</f>
        <v>0</v>
      </c>
    </row>
    <row r="155" spans="1:19">
      <c r="A155" s="174">
        <f t="shared" si="19"/>
        <v>777</v>
      </c>
      <c r="B155" s="118">
        <v>5703</v>
      </c>
      <c r="C155" s="119" t="s">
        <v>230</v>
      </c>
      <c r="D155" s="113">
        <v>0</v>
      </c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09">
        <f t="shared" si="18"/>
        <v>0</v>
      </c>
      <c r="S155" s="109">
        <f t="shared" si="16"/>
        <v>0</v>
      </c>
    </row>
    <row r="156" spans="1:19">
      <c r="A156" s="174">
        <f t="shared" si="19"/>
        <v>777</v>
      </c>
      <c r="B156" s="118">
        <v>5704</v>
      </c>
      <c r="C156" s="119" t="s">
        <v>231</v>
      </c>
      <c r="D156" s="113">
        <v>0</v>
      </c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09">
        <f t="shared" si="18"/>
        <v>0</v>
      </c>
      <c r="S156" s="109">
        <f t="shared" si="16"/>
        <v>0</v>
      </c>
    </row>
    <row r="157" spans="1:19" s="541" customFormat="1">
      <c r="A157" s="536">
        <f t="shared" si="19"/>
        <v>777</v>
      </c>
      <c r="B157" s="547">
        <v>5705</v>
      </c>
      <c r="C157" s="548" t="s">
        <v>232</v>
      </c>
      <c r="D157" s="538">
        <v>0</v>
      </c>
      <c r="E157" s="549">
        <f>+'other Operating'!J11</f>
        <v>7500</v>
      </c>
      <c r="F157" s="549">
        <f>+$E$157/12</f>
        <v>625</v>
      </c>
      <c r="G157" s="549">
        <f t="shared" ref="G157:Q157" si="23">+$E$157/12</f>
        <v>625</v>
      </c>
      <c r="H157" s="549">
        <f t="shared" si="23"/>
        <v>625</v>
      </c>
      <c r="I157" s="549">
        <f t="shared" si="23"/>
        <v>625</v>
      </c>
      <c r="J157" s="549">
        <f t="shared" si="23"/>
        <v>625</v>
      </c>
      <c r="K157" s="549">
        <f t="shared" si="23"/>
        <v>625</v>
      </c>
      <c r="L157" s="549">
        <f t="shared" si="23"/>
        <v>625</v>
      </c>
      <c r="M157" s="549">
        <f t="shared" si="23"/>
        <v>625</v>
      </c>
      <c r="N157" s="549">
        <f t="shared" si="23"/>
        <v>625</v>
      </c>
      <c r="O157" s="549">
        <f t="shared" si="23"/>
        <v>625</v>
      </c>
      <c r="P157" s="549">
        <f t="shared" si="23"/>
        <v>625</v>
      </c>
      <c r="Q157" s="549">
        <f t="shared" si="23"/>
        <v>625</v>
      </c>
      <c r="R157" s="535">
        <f t="shared" si="18"/>
        <v>7500</v>
      </c>
      <c r="S157" s="535">
        <f t="shared" si="16"/>
        <v>0</v>
      </c>
    </row>
    <row r="158" spans="1:19" s="541" customFormat="1">
      <c r="A158" s="536">
        <f t="shared" si="19"/>
        <v>777</v>
      </c>
      <c r="B158" s="547">
        <v>5710</v>
      </c>
      <c r="C158" s="548" t="s">
        <v>233</v>
      </c>
      <c r="D158" s="538">
        <v>0</v>
      </c>
      <c r="E158" s="549">
        <f>+'other Operating'!J12</f>
        <v>900</v>
      </c>
      <c r="F158" s="549">
        <f>+$E$158/12</f>
        <v>75</v>
      </c>
      <c r="G158" s="549">
        <f t="shared" ref="G158:Q158" si="24">+$E$158/12</f>
        <v>75</v>
      </c>
      <c r="H158" s="549">
        <f t="shared" si="24"/>
        <v>75</v>
      </c>
      <c r="I158" s="549">
        <f t="shared" si="24"/>
        <v>75</v>
      </c>
      <c r="J158" s="549">
        <f t="shared" si="24"/>
        <v>75</v>
      </c>
      <c r="K158" s="549">
        <f t="shared" si="24"/>
        <v>75</v>
      </c>
      <c r="L158" s="549">
        <f t="shared" si="24"/>
        <v>75</v>
      </c>
      <c r="M158" s="549">
        <f t="shared" si="24"/>
        <v>75</v>
      </c>
      <c r="N158" s="549">
        <f t="shared" si="24"/>
        <v>75</v>
      </c>
      <c r="O158" s="549">
        <f t="shared" si="24"/>
        <v>75</v>
      </c>
      <c r="P158" s="549">
        <f t="shared" si="24"/>
        <v>75</v>
      </c>
      <c r="Q158" s="549">
        <f t="shared" si="24"/>
        <v>75</v>
      </c>
      <c r="R158" s="535">
        <f t="shared" si="18"/>
        <v>900</v>
      </c>
      <c r="S158" s="535">
        <f t="shared" si="16"/>
        <v>0</v>
      </c>
    </row>
    <row r="159" spans="1:19">
      <c r="A159" s="174">
        <f t="shared" si="19"/>
        <v>777</v>
      </c>
      <c r="B159" s="118">
        <v>5715</v>
      </c>
      <c r="C159" s="119" t="s">
        <v>234</v>
      </c>
      <c r="D159" s="113">
        <v>0</v>
      </c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09">
        <f t="shared" si="18"/>
        <v>0</v>
      </c>
      <c r="S159" s="109">
        <f t="shared" si="16"/>
        <v>0</v>
      </c>
    </row>
    <row r="160" spans="1:19" s="541" customFormat="1">
      <c r="A160" s="536">
        <f t="shared" si="19"/>
        <v>777</v>
      </c>
      <c r="B160" s="547">
        <v>5720</v>
      </c>
      <c r="C160" s="548" t="s">
        <v>235</v>
      </c>
      <c r="D160" s="538">
        <v>0</v>
      </c>
      <c r="E160" s="549">
        <f>+'other Operating'!J13</f>
        <v>3400</v>
      </c>
      <c r="F160" s="549">
        <f>+$E$160/12</f>
        <v>283.33333333333331</v>
      </c>
      <c r="G160" s="549">
        <f t="shared" ref="G160:Q160" si="25">+$E$160/12</f>
        <v>283.33333333333331</v>
      </c>
      <c r="H160" s="549">
        <f t="shared" si="25"/>
        <v>283.33333333333331</v>
      </c>
      <c r="I160" s="549">
        <f t="shared" si="25"/>
        <v>283.33333333333331</v>
      </c>
      <c r="J160" s="549">
        <f t="shared" si="25"/>
        <v>283.33333333333331</v>
      </c>
      <c r="K160" s="549">
        <f t="shared" si="25"/>
        <v>283.33333333333331</v>
      </c>
      <c r="L160" s="549">
        <f t="shared" si="25"/>
        <v>283.33333333333331</v>
      </c>
      <c r="M160" s="549">
        <f t="shared" si="25"/>
        <v>283.33333333333331</v>
      </c>
      <c r="N160" s="549">
        <f t="shared" si="25"/>
        <v>283.33333333333331</v>
      </c>
      <c r="O160" s="549">
        <f t="shared" si="25"/>
        <v>283.33333333333331</v>
      </c>
      <c r="P160" s="549">
        <f t="shared" si="25"/>
        <v>283.33333333333331</v>
      </c>
      <c r="Q160" s="549">
        <f t="shared" si="25"/>
        <v>283.33333333333331</v>
      </c>
      <c r="R160" s="535">
        <f t="shared" si="18"/>
        <v>3400.0000000000005</v>
      </c>
      <c r="S160" s="535">
        <f t="shared" si="16"/>
        <v>0</v>
      </c>
    </row>
    <row r="161" spans="1:19" s="541" customFormat="1">
      <c r="A161" s="536">
        <f t="shared" si="19"/>
        <v>777</v>
      </c>
      <c r="B161" s="547">
        <v>5725</v>
      </c>
      <c r="C161" s="548" t="s">
        <v>236</v>
      </c>
      <c r="D161" s="538">
        <v>0</v>
      </c>
      <c r="E161" s="549">
        <f>+'other Operating'!J14</f>
        <v>4500</v>
      </c>
      <c r="F161" s="549">
        <f>+$E$161/12</f>
        <v>375</v>
      </c>
      <c r="G161" s="549">
        <f t="shared" ref="G161:Q161" si="26">+$E$161/12</f>
        <v>375</v>
      </c>
      <c r="H161" s="549">
        <f t="shared" si="26"/>
        <v>375</v>
      </c>
      <c r="I161" s="549">
        <f t="shared" si="26"/>
        <v>375</v>
      </c>
      <c r="J161" s="549">
        <f t="shared" si="26"/>
        <v>375</v>
      </c>
      <c r="K161" s="549">
        <f t="shared" si="26"/>
        <v>375</v>
      </c>
      <c r="L161" s="549">
        <f t="shared" si="26"/>
        <v>375</v>
      </c>
      <c r="M161" s="549">
        <f t="shared" si="26"/>
        <v>375</v>
      </c>
      <c r="N161" s="549">
        <f t="shared" si="26"/>
        <v>375</v>
      </c>
      <c r="O161" s="549">
        <f t="shared" si="26"/>
        <v>375</v>
      </c>
      <c r="P161" s="549">
        <f t="shared" si="26"/>
        <v>375</v>
      </c>
      <c r="Q161" s="549">
        <f t="shared" si="26"/>
        <v>375</v>
      </c>
      <c r="R161" s="535">
        <f t="shared" si="18"/>
        <v>4500</v>
      </c>
      <c r="S161" s="535">
        <f t="shared" si="16"/>
        <v>0</v>
      </c>
    </row>
    <row r="162" spans="1:19">
      <c r="A162" s="174">
        <f t="shared" si="19"/>
        <v>777</v>
      </c>
      <c r="B162" s="118">
        <v>5726</v>
      </c>
      <c r="C162" s="119" t="s">
        <v>237</v>
      </c>
      <c r="D162" s="113">
        <v>0</v>
      </c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09">
        <f t="shared" si="18"/>
        <v>0</v>
      </c>
      <c r="S162" s="109">
        <f t="shared" si="16"/>
        <v>0</v>
      </c>
    </row>
    <row r="163" spans="1:19">
      <c r="A163" s="174">
        <f t="shared" si="19"/>
        <v>777</v>
      </c>
      <c r="B163" s="118">
        <v>5730</v>
      </c>
      <c r="C163" s="119" t="s">
        <v>238</v>
      </c>
      <c r="D163" s="113">
        <v>0</v>
      </c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09">
        <f t="shared" si="18"/>
        <v>0</v>
      </c>
      <c r="S163" s="109">
        <f t="shared" si="16"/>
        <v>0</v>
      </c>
    </row>
    <row r="164" spans="1:19">
      <c r="A164" s="174">
        <f t="shared" si="19"/>
        <v>777</v>
      </c>
      <c r="B164" s="118">
        <v>5731</v>
      </c>
      <c r="C164" s="119" t="s">
        <v>239</v>
      </c>
      <c r="D164" s="113">
        <v>0</v>
      </c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09">
        <f t="shared" si="18"/>
        <v>0</v>
      </c>
      <c r="S164" s="109">
        <f t="shared" si="16"/>
        <v>0</v>
      </c>
    </row>
    <row r="165" spans="1:19" s="541" customFormat="1">
      <c r="A165" s="536">
        <f t="shared" si="19"/>
        <v>777</v>
      </c>
      <c r="B165" s="547">
        <v>5732</v>
      </c>
      <c r="C165" s="548" t="s">
        <v>240</v>
      </c>
      <c r="D165" s="538">
        <v>0</v>
      </c>
      <c r="E165" s="549">
        <f>+'other Operating'!J15</f>
        <v>2700</v>
      </c>
      <c r="F165" s="549">
        <f>+$E$165/12</f>
        <v>225</v>
      </c>
      <c r="G165" s="549">
        <f t="shared" ref="G165:Q165" si="27">+$E$165/12</f>
        <v>225</v>
      </c>
      <c r="H165" s="549">
        <f t="shared" si="27"/>
        <v>225</v>
      </c>
      <c r="I165" s="549">
        <f t="shared" si="27"/>
        <v>225</v>
      </c>
      <c r="J165" s="549">
        <f t="shared" si="27"/>
        <v>225</v>
      </c>
      <c r="K165" s="549">
        <f t="shared" si="27"/>
        <v>225</v>
      </c>
      <c r="L165" s="549">
        <f t="shared" si="27"/>
        <v>225</v>
      </c>
      <c r="M165" s="549">
        <f t="shared" si="27"/>
        <v>225</v>
      </c>
      <c r="N165" s="549">
        <f t="shared" si="27"/>
        <v>225</v>
      </c>
      <c r="O165" s="549">
        <f t="shared" si="27"/>
        <v>225</v>
      </c>
      <c r="P165" s="549">
        <f t="shared" si="27"/>
        <v>225</v>
      </c>
      <c r="Q165" s="549">
        <f t="shared" si="27"/>
        <v>225</v>
      </c>
      <c r="R165" s="535">
        <f t="shared" si="18"/>
        <v>2700</v>
      </c>
      <c r="S165" s="535">
        <f t="shared" si="16"/>
        <v>0</v>
      </c>
    </row>
    <row r="166" spans="1:19" s="541" customFormat="1">
      <c r="A166" s="536">
        <f t="shared" si="19"/>
        <v>777</v>
      </c>
      <c r="B166" s="547">
        <v>5733</v>
      </c>
      <c r="C166" s="548" t="s">
        <v>241</v>
      </c>
      <c r="D166" s="538">
        <v>0</v>
      </c>
      <c r="E166" s="549"/>
      <c r="F166" s="549"/>
      <c r="G166" s="549"/>
      <c r="H166" s="549"/>
      <c r="I166" s="549"/>
      <c r="J166" s="549"/>
      <c r="K166" s="549"/>
      <c r="L166" s="549"/>
      <c r="M166" s="549"/>
      <c r="N166" s="549"/>
      <c r="O166" s="549"/>
      <c r="P166" s="549"/>
      <c r="Q166" s="549"/>
      <c r="R166" s="535">
        <f t="shared" si="18"/>
        <v>0</v>
      </c>
      <c r="S166" s="535">
        <f t="shared" si="16"/>
        <v>0</v>
      </c>
    </row>
    <row r="167" spans="1:19" s="541" customFormat="1">
      <c r="A167" s="536">
        <f t="shared" si="19"/>
        <v>777</v>
      </c>
      <c r="B167" s="547">
        <v>5734</v>
      </c>
      <c r="C167" s="548" t="s">
        <v>242</v>
      </c>
      <c r="D167" s="538">
        <v>0</v>
      </c>
      <c r="E167" s="549"/>
      <c r="F167" s="549"/>
      <c r="G167" s="549"/>
      <c r="H167" s="549"/>
      <c r="I167" s="549"/>
      <c r="J167" s="549"/>
      <c r="K167" s="549"/>
      <c r="L167" s="549"/>
      <c r="M167" s="549"/>
      <c r="N167" s="549"/>
      <c r="O167" s="549"/>
      <c r="P167" s="549"/>
      <c r="Q167" s="549"/>
      <c r="R167" s="535">
        <f t="shared" si="18"/>
        <v>0</v>
      </c>
      <c r="S167" s="535">
        <f t="shared" si="16"/>
        <v>0</v>
      </c>
    </row>
    <row r="168" spans="1:19" s="541" customFormat="1">
      <c r="A168" s="536">
        <f t="shared" si="19"/>
        <v>777</v>
      </c>
      <c r="B168" s="547">
        <v>5735</v>
      </c>
      <c r="C168" s="548" t="s">
        <v>243</v>
      </c>
      <c r="D168" s="538">
        <v>0</v>
      </c>
      <c r="E168" s="549"/>
      <c r="F168" s="549"/>
      <c r="G168" s="549"/>
      <c r="H168" s="549"/>
      <c r="I168" s="549"/>
      <c r="J168" s="549"/>
      <c r="K168" s="549"/>
      <c r="L168" s="549"/>
      <c r="M168" s="549"/>
      <c r="N168" s="549"/>
      <c r="O168" s="549"/>
      <c r="P168" s="549"/>
      <c r="Q168" s="549"/>
      <c r="R168" s="535">
        <f t="shared" si="18"/>
        <v>0</v>
      </c>
      <c r="S168" s="535">
        <f t="shared" si="16"/>
        <v>0</v>
      </c>
    </row>
    <row r="169" spans="1:19" s="541" customFormat="1">
      <c r="A169" s="536">
        <f t="shared" si="19"/>
        <v>777</v>
      </c>
      <c r="B169" s="547">
        <v>5736</v>
      </c>
      <c r="C169" s="548" t="s">
        <v>244</v>
      </c>
      <c r="D169" s="538">
        <v>0</v>
      </c>
      <c r="E169" s="549"/>
      <c r="F169" s="549"/>
      <c r="G169" s="549"/>
      <c r="H169" s="549"/>
      <c r="I169" s="549"/>
      <c r="J169" s="549"/>
      <c r="K169" s="549"/>
      <c r="L169" s="549"/>
      <c r="M169" s="549"/>
      <c r="N169" s="549"/>
      <c r="O169" s="549"/>
      <c r="P169" s="549"/>
      <c r="Q169" s="549"/>
      <c r="R169" s="535">
        <f t="shared" si="18"/>
        <v>0</v>
      </c>
      <c r="S169" s="535">
        <f t="shared" si="16"/>
        <v>0</v>
      </c>
    </row>
    <row r="170" spans="1:19" s="541" customFormat="1">
      <c r="A170" s="536">
        <f t="shared" si="19"/>
        <v>777</v>
      </c>
      <c r="B170" s="547">
        <v>5740</v>
      </c>
      <c r="C170" s="548" t="s">
        <v>245</v>
      </c>
      <c r="D170" s="538">
        <v>0</v>
      </c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35">
        <f t="shared" si="18"/>
        <v>0</v>
      </c>
      <c r="S170" s="535">
        <f t="shared" si="16"/>
        <v>0</v>
      </c>
    </row>
    <row r="171" spans="1:19" s="541" customFormat="1">
      <c r="A171" s="536">
        <f t="shared" si="19"/>
        <v>777</v>
      </c>
      <c r="B171" s="547">
        <v>5741</v>
      </c>
      <c r="C171" s="548" t="s">
        <v>246</v>
      </c>
      <c r="D171" s="538">
        <v>0</v>
      </c>
      <c r="E171" s="549">
        <f>+'other Operating'!J17</f>
        <v>3100</v>
      </c>
      <c r="F171" s="549"/>
      <c r="G171" s="549">
        <f t="shared" ref="G171:P171" si="28">+$E$171/4</f>
        <v>775</v>
      </c>
      <c r="H171" s="549"/>
      <c r="I171" s="549"/>
      <c r="J171" s="549">
        <f t="shared" si="28"/>
        <v>775</v>
      </c>
      <c r="K171" s="549"/>
      <c r="L171" s="549"/>
      <c r="M171" s="549">
        <f t="shared" si="28"/>
        <v>775</v>
      </c>
      <c r="N171" s="549"/>
      <c r="O171" s="549"/>
      <c r="P171" s="549">
        <f t="shared" si="28"/>
        <v>775</v>
      </c>
      <c r="Q171" s="549"/>
      <c r="R171" s="535">
        <f t="shared" si="18"/>
        <v>3100</v>
      </c>
      <c r="S171" s="535">
        <f t="shared" si="16"/>
        <v>0</v>
      </c>
    </row>
    <row r="172" spans="1:19" s="541" customFormat="1">
      <c r="A172" s="536">
        <f t="shared" si="19"/>
        <v>777</v>
      </c>
      <c r="B172" s="547">
        <v>5771</v>
      </c>
      <c r="C172" s="548" t="s">
        <v>101</v>
      </c>
      <c r="D172" s="538">
        <v>0</v>
      </c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35">
        <f t="shared" si="18"/>
        <v>0</v>
      </c>
      <c r="S172" s="535">
        <f t="shared" si="16"/>
        <v>0</v>
      </c>
    </row>
    <row r="173" spans="1:19" s="541" customFormat="1">
      <c r="A173" s="536">
        <f t="shared" si="19"/>
        <v>777</v>
      </c>
      <c r="B173" s="547">
        <v>5904</v>
      </c>
      <c r="C173" s="548" t="s">
        <v>101</v>
      </c>
      <c r="D173" s="538">
        <v>0</v>
      </c>
      <c r="E173" s="549"/>
      <c r="F173" s="549"/>
      <c r="G173" s="549"/>
      <c r="H173" s="549"/>
      <c r="I173" s="549"/>
      <c r="J173" s="549"/>
      <c r="K173" s="549"/>
      <c r="L173" s="549"/>
      <c r="M173" s="549"/>
      <c r="N173" s="549"/>
      <c r="O173" s="549"/>
      <c r="P173" s="549"/>
      <c r="Q173" s="549"/>
      <c r="R173" s="535">
        <f t="shared" si="18"/>
        <v>0</v>
      </c>
      <c r="S173" s="535">
        <f t="shared" si="16"/>
        <v>0</v>
      </c>
    </row>
    <row r="174" spans="1:19" s="541" customFormat="1">
      <c r="A174" s="536">
        <f t="shared" si="19"/>
        <v>777</v>
      </c>
      <c r="B174" s="547">
        <v>5999</v>
      </c>
      <c r="C174" s="548" t="s">
        <v>247</v>
      </c>
      <c r="D174" s="538">
        <v>0</v>
      </c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35">
        <f t="shared" si="18"/>
        <v>0</v>
      </c>
      <c r="S174" s="535">
        <f t="shared" si="16"/>
        <v>0</v>
      </c>
    </row>
    <row r="175" spans="1:19" s="541" customFormat="1">
      <c r="A175" s="536">
        <f t="shared" si="19"/>
        <v>777</v>
      </c>
      <c r="B175" s="547">
        <v>6001</v>
      </c>
      <c r="C175" s="548" t="s">
        <v>248</v>
      </c>
      <c r="D175" s="538">
        <v>0</v>
      </c>
      <c r="E175" s="549"/>
      <c r="F175" s="549"/>
      <c r="G175" s="549"/>
      <c r="H175" s="549"/>
      <c r="I175" s="549"/>
      <c r="J175" s="549"/>
      <c r="K175" s="549"/>
      <c r="L175" s="549"/>
      <c r="M175" s="549"/>
      <c r="N175" s="549"/>
      <c r="O175" s="549"/>
      <c r="P175" s="549"/>
      <c r="Q175" s="549"/>
      <c r="R175" s="535">
        <f t="shared" si="18"/>
        <v>0</v>
      </c>
      <c r="S175" s="535">
        <f t="shared" si="16"/>
        <v>0</v>
      </c>
    </row>
    <row r="176" spans="1:19" s="541" customFormat="1">
      <c r="A176" s="536">
        <f t="shared" si="19"/>
        <v>777</v>
      </c>
      <c r="B176" s="547">
        <v>6010</v>
      </c>
      <c r="C176" s="548" t="s">
        <v>249</v>
      </c>
      <c r="D176" s="538">
        <v>0</v>
      </c>
      <c r="E176" s="549">
        <f>+'other Operating'!J18</f>
        <v>1100</v>
      </c>
      <c r="F176" s="549">
        <f>+$E$176/12</f>
        <v>91.666666666666671</v>
      </c>
      <c r="G176" s="549">
        <f t="shared" ref="G176:Q176" si="29">+$E$176/12</f>
        <v>91.666666666666671</v>
      </c>
      <c r="H176" s="549">
        <f t="shared" si="29"/>
        <v>91.666666666666671</v>
      </c>
      <c r="I176" s="549">
        <f t="shared" si="29"/>
        <v>91.666666666666671</v>
      </c>
      <c r="J176" s="549">
        <f t="shared" si="29"/>
        <v>91.666666666666671</v>
      </c>
      <c r="K176" s="549">
        <f t="shared" si="29"/>
        <v>91.666666666666671</v>
      </c>
      <c r="L176" s="549">
        <f t="shared" si="29"/>
        <v>91.666666666666671</v>
      </c>
      <c r="M176" s="549">
        <f t="shared" si="29"/>
        <v>91.666666666666671</v>
      </c>
      <c r="N176" s="549">
        <f t="shared" si="29"/>
        <v>91.666666666666671</v>
      </c>
      <c r="O176" s="549">
        <f t="shared" si="29"/>
        <v>91.666666666666671</v>
      </c>
      <c r="P176" s="549">
        <f t="shared" si="29"/>
        <v>91.666666666666671</v>
      </c>
      <c r="Q176" s="549">
        <f t="shared" si="29"/>
        <v>91.666666666666671</v>
      </c>
      <c r="R176" s="535">
        <f t="shared" si="18"/>
        <v>1099.9999999999998</v>
      </c>
      <c r="S176" s="535">
        <f t="shared" si="16"/>
        <v>0</v>
      </c>
    </row>
    <row r="177" spans="1:19" s="541" customFormat="1">
      <c r="A177" s="536">
        <f t="shared" si="19"/>
        <v>777</v>
      </c>
      <c r="B177" s="547">
        <v>6011</v>
      </c>
      <c r="C177" s="548" t="s">
        <v>250</v>
      </c>
      <c r="D177" s="538">
        <v>0</v>
      </c>
      <c r="E177" s="549"/>
      <c r="F177" s="549"/>
      <c r="G177" s="549"/>
      <c r="H177" s="549"/>
      <c r="I177" s="549"/>
      <c r="J177" s="549"/>
      <c r="K177" s="549"/>
      <c r="L177" s="549"/>
      <c r="M177" s="549"/>
      <c r="N177" s="549"/>
      <c r="O177" s="549"/>
      <c r="P177" s="549"/>
      <c r="Q177" s="549"/>
      <c r="R177" s="535">
        <f t="shared" si="18"/>
        <v>0</v>
      </c>
      <c r="S177" s="535">
        <f t="shared" si="16"/>
        <v>0</v>
      </c>
    </row>
    <row r="178" spans="1:19" s="541" customFormat="1">
      <c r="A178" s="536">
        <f t="shared" si="19"/>
        <v>777</v>
      </c>
      <c r="B178" s="547">
        <v>6015</v>
      </c>
      <c r="C178" s="548" t="s">
        <v>251</v>
      </c>
      <c r="D178" s="538">
        <v>0</v>
      </c>
      <c r="E178" s="549"/>
      <c r="F178" s="549"/>
      <c r="G178" s="549"/>
      <c r="H178" s="549"/>
      <c r="I178" s="549"/>
      <c r="J178" s="549"/>
      <c r="K178" s="549"/>
      <c r="L178" s="549"/>
      <c r="M178" s="549"/>
      <c r="N178" s="549"/>
      <c r="O178" s="549"/>
      <c r="P178" s="549"/>
      <c r="Q178" s="549"/>
      <c r="R178" s="535">
        <f t="shared" si="18"/>
        <v>0</v>
      </c>
      <c r="S178" s="535">
        <f t="shared" si="16"/>
        <v>0</v>
      </c>
    </row>
    <row r="179" spans="1:19" s="541" customFormat="1">
      <c r="A179" s="536">
        <f t="shared" si="19"/>
        <v>777</v>
      </c>
      <c r="B179" s="547">
        <v>6020</v>
      </c>
      <c r="C179" s="548" t="s">
        <v>252</v>
      </c>
      <c r="D179" s="538">
        <v>0</v>
      </c>
      <c r="E179" s="549"/>
      <c r="F179" s="549"/>
      <c r="G179" s="549"/>
      <c r="H179" s="549"/>
      <c r="I179" s="549"/>
      <c r="J179" s="549"/>
      <c r="K179" s="549"/>
      <c r="L179" s="549"/>
      <c r="M179" s="549"/>
      <c r="N179" s="549"/>
      <c r="O179" s="549"/>
      <c r="P179" s="549"/>
      <c r="Q179" s="549"/>
      <c r="R179" s="535">
        <f t="shared" si="18"/>
        <v>0</v>
      </c>
      <c r="S179" s="535">
        <f t="shared" si="16"/>
        <v>0</v>
      </c>
    </row>
    <row r="180" spans="1:19" s="541" customFormat="1">
      <c r="A180" s="536">
        <f t="shared" si="19"/>
        <v>777</v>
      </c>
      <c r="B180" s="547">
        <v>6025</v>
      </c>
      <c r="C180" s="548" t="s">
        <v>253</v>
      </c>
      <c r="D180" s="538">
        <v>0</v>
      </c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35">
        <f t="shared" si="18"/>
        <v>0</v>
      </c>
      <c r="S180" s="535">
        <f t="shared" si="16"/>
        <v>0</v>
      </c>
    </row>
    <row r="181" spans="1:19" s="541" customFormat="1">
      <c r="A181" s="536">
        <f t="shared" si="19"/>
        <v>777</v>
      </c>
      <c r="B181" s="547">
        <v>6030</v>
      </c>
      <c r="C181" s="548" t="s">
        <v>254</v>
      </c>
      <c r="D181" s="538">
        <v>0</v>
      </c>
      <c r="E181" s="549">
        <f>+'other Operating'!J19</f>
        <v>4000</v>
      </c>
      <c r="F181" s="549">
        <f>+$E$181/12</f>
        <v>333.33333333333331</v>
      </c>
      <c r="G181" s="549">
        <f t="shared" ref="G181:Q181" si="30">+$E$181/12</f>
        <v>333.33333333333331</v>
      </c>
      <c r="H181" s="549">
        <f t="shared" si="30"/>
        <v>333.33333333333331</v>
      </c>
      <c r="I181" s="549">
        <f t="shared" si="30"/>
        <v>333.33333333333331</v>
      </c>
      <c r="J181" s="549">
        <f t="shared" si="30"/>
        <v>333.33333333333331</v>
      </c>
      <c r="K181" s="549">
        <f t="shared" si="30"/>
        <v>333.33333333333331</v>
      </c>
      <c r="L181" s="549">
        <f t="shared" si="30"/>
        <v>333.33333333333331</v>
      </c>
      <c r="M181" s="549">
        <f t="shared" si="30"/>
        <v>333.33333333333331</v>
      </c>
      <c r="N181" s="549">
        <f t="shared" si="30"/>
        <v>333.33333333333331</v>
      </c>
      <c r="O181" s="549">
        <f t="shared" si="30"/>
        <v>333.33333333333331</v>
      </c>
      <c r="P181" s="549">
        <f t="shared" si="30"/>
        <v>333.33333333333331</v>
      </c>
      <c r="Q181" s="549">
        <f t="shared" si="30"/>
        <v>333.33333333333331</v>
      </c>
      <c r="R181" s="535">
        <f t="shared" si="18"/>
        <v>4000.0000000000005</v>
      </c>
      <c r="S181" s="535">
        <f t="shared" si="16"/>
        <v>0</v>
      </c>
    </row>
    <row r="182" spans="1:19" s="541" customFormat="1">
      <c r="A182" s="536">
        <f t="shared" si="19"/>
        <v>777</v>
      </c>
      <c r="B182" s="547">
        <v>6035</v>
      </c>
      <c r="C182" s="548" t="s">
        <v>255</v>
      </c>
      <c r="D182" s="538">
        <v>0</v>
      </c>
      <c r="E182" s="549">
        <f>+'other Operating'!J20</f>
        <v>500</v>
      </c>
      <c r="F182" s="549">
        <f>+$E$182/12</f>
        <v>41.666666666666664</v>
      </c>
      <c r="G182" s="549">
        <f t="shared" ref="G182:Q182" si="31">+$E$182/12</f>
        <v>41.666666666666664</v>
      </c>
      <c r="H182" s="549">
        <f t="shared" si="31"/>
        <v>41.666666666666664</v>
      </c>
      <c r="I182" s="549">
        <f t="shared" si="31"/>
        <v>41.666666666666664</v>
      </c>
      <c r="J182" s="549">
        <f t="shared" si="31"/>
        <v>41.666666666666664</v>
      </c>
      <c r="K182" s="549">
        <f t="shared" si="31"/>
        <v>41.666666666666664</v>
      </c>
      <c r="L182" s="549">
        <f t="shared" si="31"/>
        <v>41.666666666666664</v>
      </c>
      <c r="M182" s="549">
        <f t="shared" si="31"/>
        <v>41.666666666666664</v>
      </c>
      <c r="N182" s="549">
        <f t="shared" si="31"/>
        <v>41.666666666666664</v>
      </c>
      <c r="O182" s="549">
        <f t="shared" si="31"/>
        <v>41.666666666666664</v>
      </c>
      <c r="P182" s="549">
        <f t="shared" si="31"/>
        <v>41.666666666666664</v>
      </c>
      <c r="Q182" s="549">
        <f t="shared" si="31"/>
        <v>41.666666666666664</v>
      </c>
      <c r="R182" s="535">
        <f t="shared" si="18"/>
        <v>500.00000000000006</v>
      </c>
      <c r="S182" s="535">
        <f t="shared" si="16"/>
        <v>0</v>
      </c>
    </row>
    <row r="183" spans="1:19">
      <c r="A183" s="174">
        <f t="shared" si="19"/>
        <v>777</v>
      </c>
      <c r="B183" s="118">
        <v>6045</v>
      </c>
      <c r="C183" s="119" t="s">
        <v>256</v>
      </c>
      <c r="D183" s="113">
        <v>0</v>
      </c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09">
        <f t="shared" si="18"/>
        <v>0</v>
      </c>
      <c r="S183" s="109">
        <f t="shared" si="16"/>
        <v>0</v>
      </c>
    </row>
    <row r="184" spans="1:19">
      <c r="A184" s="174">
        <f t="shared" si="19"/>
        <v>777</v>
      </c>
      <c r="B184" s="118">
        <v>6050</v>
      </c>
      <c r="C184" s="119" t="s">
        <v>132</v>
      </c>
      <c r="D184" s="113">
        <v>0</v>
      </c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7">
        <f t="shared" si="18"/>
        <v>0</v>
      </c>
      <c r="S184" s="307">
        <f t="shared" si="16"/>
        <v>0</v>
      </c>
    </row>
    <row r="185" spans="1:19">
      <c r="A185" s="174">
        <f t="shared" si="19"/>
        <v>777</v>
      </c>
      <c r="B185" s="118">
        <v>6055</v>
      </c>
      <c r="C185" s="119" t="s">
        <v>257</v>
      </c>
      <c r="D185" s="113">
        <v>0</v>
      </c>
      <c r="E185" s="110">
        <f>+'other Operating'!J21</f>
        <v>0</v>
      </c>
      <c r="F185" s="110">
        <f>+$E$185/12</f>
        <v>0</v>
      </c>
      <c r="G185" s="110">
        <f t="shared" ref="G185:Q185" si="32">+$E$185/12</f>
        <v>0</v>
      </c>
      <c r="H185" s="110">
        <f t="shared" si="32"/>
        <v>0</v>
      </c>
      <c r="I185" s="110">
        <f t="shared" si="32"/>
        <v>0</v>
      </c>
      <c r="J185" s="110">
        <f t="shared" si="32"/>
        <v>0</v>
      </c>
      <c r="K185" s="110">
        <f t="shared" si="32"/>
        <v>0</v>
      </c>
      <c r="L185" s="110">
        <f t="shared" si="32"/>
        <v>0</v>
      </c>
      <c r="M185" s="110">
        <f t="shared" si="32"/>
        <v>0</v>
      </c>
      <c r="N185" s="110">
        <f t="shared" si="32"/>
        <v>0</v>
      </c>
      <c r="O185" s="110">
        <f t="shared" si="32"/>
        <v>0</v>
      </c>
      <c r="P185" s="110">
        <f t="shared" si="32"/>
        <v>0</v>
      </c>
      <c r="Q185" s="110">
        <f t="shared" si="32"/>
        <v>0</v>
      </c>
      <c r="R185" s="109">
        <f t="shared" si="18"/>
        <v>0</v>
      </c>
      <c r="S185" s="109">
        <f t="shared" si="16"/>
        <v>0</v>
      </c>
    </row>
    <row r="186" spans="1:19">
      <c r="A186" s="174">
        <f t="shared" si="19"/>
        <v>777</v>
      </c>
      <c r="B186" s="118">
        <v>6057</v>
      </c>
      <c r="C186" s="119" t="s">
        <v>258</v>
      </c>
      <c r="D186" s="113">
        <v>0</v>
      </c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09">
        <f t="shared" si="18"/>
        <v>0</v>
      </c>
      <c r="S186" s="109">
        <f t="shared" si="16"/>
        <v>0</v>
      </c>
    </row>
    <row r="187" spans="1:19" s="541" customFormat="1">
      <c r="A187" s="536">
        <f t="shared" si="19"/>
        <v>777</v>
      </c>
      <c r="B187" s="547">
        <v>6060</v>
      </c>
      <c r="C187" s="548" t="s">
        <v>259</v>
      </c>
      <c r="D187" s="538">
        <v>0</v>
      </c>
      <c r="E187" s="549">
        <f>+'other Operating'!J22</f>
        <v>1700</v>
      </c>
      <c r="F187" s="549">
        <f>+$E$187/12</f>
        <v>141.66666666666666</v>
      </c>
      <c r="G187" s="549">
        <f t="shared" ref="G187:Q187" si="33">+$E$187/12</f>
        <v>141.66666666666666</v>
      </c>
      <c r="H187" s="549">
        <f t="shared" si="33"/>
        <v>141.66666666666666</v>
      </c>
      <c r="I187" s="549">
        <f t="shared" si="33"/>
        <v>141.66666666666666</v>
      </c>
      <c r="J187" s="549">
        <f t="shared" si="33"/>
        <v>141.66666666666666</v>
      </c>
      <c r="K187" s="549">
        <f t="shared" si="33"/>
        <v>141.66666666666666</v>
      </c>
      <c r="L187" s="549">
        <f t="shared" si="33"/>
        <v>141.66666666666666</v>
      </c>
      <c r="M187" s="549">
        <f t="shared" si="33"/>
        <v>141.66666666666666</v>
      </c>
      <c r="N187" s="549">
        <f t="shared" si="33"/>
        <v>141.66666666666666</v>
      </c>
      <c r="O187" s="549">
        <f t="shared" si="33"/>
        <v>141.66666666666666</v>
      </c>
      <c r="P187" s="549">
        <f t="shared" si="33"/>
        <v>141.66666666666666</v>
      </c>
      <c r="Q187" s="549">
        <f t="shared" si="33"/>
        <v>141.66666666666666</v>
      </c>
      <c r="R187" s="535">
        <f t="shared" si="18"/>
        <v>1700.0000000000002</v>
      </c>
      <c r="S187" s="535">
        <f t="shared" si="16"/>
        <v>0</v>
      </c>
    </row>
    <row r="188" spans="1:19" s="541" customFormat="1">
      <c r="A188" s="536">
        <f t="shared" si="19"/>
        <v>777</v>
      </c>
      <c r="B188" s="547">
        <v>6065</v>
      </c>
      <c r="C188" s="548" t="s">
        <v>260</v>
      </c>
      <c r="D188" s="538">
        <v>0</v>
      </c>
      <c r="E188" s="549">
        <f>+'other Operating'!J23</f>
        <v>1000</v>
      </c>
      <c r="F188" s="549">
        <f>+$E$188/12</f>
        <v>83.333333333333329</v>
      </c>
      <c r="G188" s="549">
        <f t="shared" ref="G188:Q188" si="34">+$E$188/12</f>
        <v>83.333333333333329</v>
      </c>
      <c r="H188" s="549">
        <f t="shared" si="34"/>
        <v>83.333333333333329</v>
      </c>
      <c r="I188" s="549">
        <f t="shared" si="34"/>
        <v>83.333333333333329</v>
      </c>
      <c r="J188" s="549">
        <f t="shared" si="34"/>
        <v>83.333333333333329</v>
      </c>
      <c r="K188" s="549">
        <f t="shared" si="34"/>
        <v>83.333333333333329</v>
      </c>
      <c r="L188" s="549">
        <f t="shared" si="34"/>
        <v>83.333333333333329</v>
      </c>
      <c r="M188" s="549">
        <f t="shared" si="34"/>
        <v>83.333333333333329</v>
      </c>
      <c r="N188" s="549">
        <f t="shared" si="34"/>
        <v>83.333333333333329</v>
      </c>
      <c r="O188" s="549">
        <f t="shared" si="34"/>
        <v>83.333333333333329</v>
      </c>
      <c r="P188" s="549">
        <f t="shared" si="34"/>
        <v>83.333333333333329</v>
      </c>
      <c r="Q188" s="549">
        <f t="shared" si="34"/>
        <v>83.333333333333329</v>
      </c>
      <c r="R188" s="535">
        <f t="shared" si="18"/>
        <v>1000.0000000000001</v>
      </c>
      <c r="S188" s="535">
        <f t="shared" si="16"/>
        <v>0</v>
      </c>
    </row>
    <row r="189" spans="1:19" s="541" customFormat="1">
      <c r="A189" s="536">
        <f t="shared" si="19"/>
        <v>777</v>
      </c>
      <c r="B189" s="547">
        <v>6070</v>
      </c>
      <c r="C189" s="548" t="s">
        <v>261</v>
      </c>
      <c r="D189" s="538">
        <v>0</v>
      </c>
      <c r="E189" s="549">
        <f>+'other Operating'!J24</f>
        <v>3000</v>
      </c>
      <c r="F189" s="549">
        <f>+$E$189/12</f>
        <v>250</v>
      </c>
      <c r="G189" s="549">
        <f t="shared" ref="G189:Q189" si="35">+$E$189/12</f>
        <v>250</v>
      </c>
      <c r="H189" s="549">
        <f t="shared" si="35"/>
        <v>250</v>
      </c>
      <c r="I189" s="549">
        <f t="shared" si="35"/>
        <v>250</v>
      </c>
      <c r="J189" s="549">
        <f t="shared" si="35"/>
        <v>250</v>
      </c>
      <c r="K189" s="549">
        <f t="shared" si="35"/>
        <v>250</v>
      </c>
      <c r="L189" s="549">
        <f t="shared" si="35"/>
        <v>250</v>
      </c>
      <c r="M189" s="549">
        <f t="shared" si="35"/>
        <v>250</v>
      </c>
      <c r="N189" s="549">
        <f t="shared" si="35"/>
        <v>250</v>
      </c>
      <c r="O189" s="549">
        <f t="shared" si="35"/>
        <v>250</v>
      </c>
      <c r="P189" s="549">
        <f t="shared" si="35"/>
        <v>250</v>
      </c>
      <c r="Q189" s="549">
        <f t="shared" si="35"/>
        <v>250</v>
      </c>
      <c r="R189" s="535">
        <f t="shared" si="18"/>
        <v>3000</v>
      </c>
      <c r="S189" s="535">
        <f t="shared" si="16"/>
        <v>0</v>
      </c>
    </row>
    <row r="190" spans="1:19" s="541" customFormat="1">
      <c r="A190" s="536">
        <f t="shared" si="19"/>
        <v>777</v>
      </c>
      <c r="B190" s="547">
        <v>6090</v>
      </c>
      <c r="C190" s="548" t="s">
        <v>262</v>
      </c>
      <c r="D190" s="538">
        <v>0</v>
      </c>
      <c r="E190" s="549">
        <f>+'other Operating'!J25</f>
        <v>3000</v>
      </c>
      <c r="F190" s="549">
        <f>+$E$190/12</f>
        <v>250</v>
      </c>
      <c r="G190" s="549">
        <f t="shared" ref="G190:Q190" si="36">+$E$190/12</f>
        <v>250</v>
      </c>
      <c r="H190" s="549">
        <f t="shared" si="36"/>
        <v>250</v>
      </c>
      <c r="I190" s="549">
        <f t="shared" si="36"/>
        <v>250</v>
      </c>
      <c r="J190" s="549">
        <f t="shared" si="36"/>
        <v>250</v>
      </c>
      <c r="K190" s="549">
        <f t="shared" si="36"/>
        <v>250</v>
      </c>
      <c r="L190" s="549">
        <f t="shared" si="36"/>
        <v>250</v>
      </c>
      <c r="M190" s="549">
        <f t="shared" si="36"/>
        <v>250</v>
      </c>
      <c r="N190" s="549">
        <f t="shared" si="36"/>
        <v>250</v>
      </c>
      <c r="O190" s="549">
        <f t="shared" si="36"/>
        <v>250</v>
      </c>
      <c r="P190" s="549">
        <f t="shared" si="36"/>
        <v>250</v>
      </c>
      <c r="Q190" s="549">
        <f t="shared" si="36"/>
        <v>250</v>
      </c>
      <c r="R190" s="535">
        <f t="shared" si="18"/>
        <v>3000</v>
      </c>
      <c r="S190" s="535">
        <f t="shared" si="16"/>
        <v>0</v>
      </c>
    </row>
    <row r="191" spans="1:19" s="541" customFormat="1">
      <c r="A191" s="536">
        <f t="shared" si="19"/>
        <v>777</v>
      </c>
      <c r="B191" s="547">
        <v>6095</v>
      </c>
      <c r="C191" s="548" t="s">
        <v>263</v>
      </c>
      <c r="D191" s="538">
        <v>0</v>
      </c>
      <c r="E191" s="549">
        <f>+'other Operating'!J26</f>
        <v>400</v>
      </c>
      <c r="F191" s="549">
        <f t="shared" ref="F191:Q191" si="37">+$E191/12</f>
        <v>33.333333333333336</v>
      </c>
      <c r="G191" s="549">
        <f t="shared" si="37"/>
        <v>33.333333333333336</v>
      </c>
      <c r="H191" s="549">
        <f t="shared" si="37"/>
        <v>33.333333333333336</v>
      </c>
      <c r="I191" s="549">
        <f t="shared" si="37"/>
        <v>33.333333333333336</v>
      </c>
      <c r="J191" s="549">
        <f t="shared" si="37"/>
        <v>33.333333333333336</v>
      </c>
      <c r="K191" s="549">
        <f t="shared" si="37"/>
        <v>33.333333333333336</v>
      </c>
      <c r="L191" s="549">
        <f t="shared" si="37"/>
        <v>33.333333333333336</v>
      </c>
      <c r="M191" s="549">
        <f t="shared" si="37"/>
        <v>33.333333333333336</v>
      </c>
      <c r="N191" s="549">
        <f t="shared" si="37"/>
        <v>33.333333333333336</v>
      </c>
      <c r="O191" s="549">
        <f t="shared" si="37"/>
        <v>33.333333333333336</v>
      </c>
      <c r="P191" s="549">
        <f t="shared" si="37"/>
        <v>33.333333333333336</v>
      </c>
      <c r="Q191" s="549">
        <f t="shared" si="37"/>
        <v>33.333333333333336</v>
      </c>
      <c r="R191" s="535">
        <f t="shared" si="18"/>
        <v>399.99999999999994</v>
      </c>
      <c r="S191" s="535">
        <f t="shared" si="16"/>
        <v>0</v>
      </c>
    </row>
    <row r="192" spans="1:19" s="541" customFormat="1">
      <c r="A192" s="536">
        <f t="shared" si="19"/>
        <v>777</v>
      </c>
      <c r="B192" s="547">
        <v>6097</v>
      </c>
      <c r="C192" s="548" t="s">
        <v>264</v>
      </c>
      <c r="D192" s="538">
        <v>0</v>
      </c>
      <c r="E192" s="549"/>
      <c r="F192" s="549"/>
      <c r="G192" s="549"/>
      <c r="H192" s="549"/>
      <c r="I192" s="549"/>
      <c r="J192" s="549"/>
      <c r="K192" s="549"/>
      <c r="L192" s="549"/>
      <c r="M192" s="549"/>
      <c r="N192" s="549"/>
      <c r="O192" s="549"/>
      <c r="P192" s="549"/>
      <c r="Q192" s="549"/>
      <c r="R192" s="535">
        <f t="shared" si="18"/>
        <v>0</v>
      </c>
      <c r="S192" s="535">
        <f t="shared" si="16"/>
        <v>0</v>
      </c>
    </row>
    <row r="193" spans="1:19" s="541" customFormat="1">
      <c r="A193" s="536">
        <f t="shared" si="19"/>
        <v>777</v>
      </c>
      <c r="B193" s="547">
        <v>6110</v>
      </c>
      <c r="C193" s="548" t="s">
        <v>265</v>
      </c>
      <c r="D193" s="538">
        <v>0</v>
      </c>
      <c r="E193" s="549"/>
      <c r="F193" s="549"/>
      <c r="G193" s="549"/>
      <c r="H193" s="549"/>
      <c r="I193" s="549"/>
      <c r="J193" s="549"/>
      <c r="K193" s="549"/>
      <c r="L193" s="549"/>
      <c r="M193" s="549"/>
      <c r="N193" s="549"/>
      <c r="O193" s="549"/>
      <c r="P193" s="549"/>
      <c r="Q193" s="549"/>
      <c r="R193" s="535">
        <f t="shared" si="18"/>
        <v>0</v>
      </c>
      <c r="S193" s="535">
        <f t="shared" si="16"/>
        <v>0</v>
      </c>
    </row>
    <row r="194" spans="1:19" s="541" customFormat="1">
      <c r="A194" s="536">
        <f t="shared" si="19"/>
        <v>777</v>
      </c>
      <c r="B194" s="547">
        <v>6115</v>
      </c>
      <c r="C194" s="548" t="s">
        <v>266</v>
      </c>
      <c r="D194" s="538">
        <v>0</v>
      </c>
      <c r="E194" s="549"/>
      <c r="F194" s="549"/>
      <c r="G194" s="549"/>
      <c r="H194" s="549"/>
      <c r="I194" s="549"/>
      <c r="J194" s="549"/>
      <c r="K194" s="549"/>
      <c r="L194" s="549"/>
      <c r="M194" s="549"/>
      <c r="N194" s="549"/>
      <c r="O194" s="549"/>
      <c r="P194" s="549"/>
      <c r="Q194" s="549"/>
      <c r="R194" s="535">
        <f t="shared" si="18"/>
        <v>0</v>
      </c>
      <c r="S194" s="535">
        <f t="shared" si="16"/>
        <v>0</v>
      </c>
    </row>
    <row r="195" spans="1:19" s="541" customFormat="1">
      <c r="A195" s="536">
        <f t="shared" si="19"/>
        <v>777</v>
      </c>
      <c r="B195" s="547">
        <v>6116</v>
      </c>
      <c r="C195" s="548" t="s">
        <v>267</v>
      </c>
      <c r="D195" s="538">
        <v>0</v>
      </c>
      <c r="E195" s="549">
        <f>+'other Operating'!J27</f>
        <v>2100</v>
      </c>
      <c r="F195" s="549">
        <f>+$E$195/12</f>
        <v>175</v>
      </c>
      <c r="G195" s="549">
        <f t="shared" ref="G195:Q195" si="38">+$E$195/12</f>
        <v>175</v>
      </c>
      <c r="H195" s="549">
        <f t="shared" si="38"/>
        <v>175</v>
      </c>
      <c r="I195" s="549">
        <f t="shared" si="38"/>
        <v>175</v>
      </c>
      <c r="J195" s="549">
        <f t="shared" si="38"/>
        <v>175</v>
      </c>
      <c r="K195" s="549">
        <f t="shared" si="38"/>
        <v>175</v>
      </c>
      <c r="L195" s="549">
        <f t="shared" si="38"/>
        <v>175</v>
      </c>
      <c r="M195" s="549">
        <f t="shared" si="38"/>
        <v>175</v>
      </c>
      <c r="N195" s="549">
        <f t="shared" si="38"/>
        <v>175</v>
      </c>
      <c r="O195" s="549">
        <f t="shared" si="38"/>
        <v>175</v>
      </c>
      <c r="P195" s="549">
        <f t="shared" si="38"/>
        <v>175</v>
      </c>
      <c r="Q195" s="549">
        <f t="shared" si="38"/>
        <v>175</v>
      </c>
      <c r="R195" s="535">
        <f t="shared" si="18"/>
        <v>2100</v>
      </c>
      <c r="S195" s="535">
        <f t="shared" si="16"/>
        <v>0</v>
      </c>
    </row>
    <row r="196" spans="1:19" s="541" customFormat="1">
      <c r="A196" s="536">
        <f t="shared" si="19"/>
        <v>777</v>
      </c>
      <c r="B196" s="547">
        <v>6117</v>
      </c>
      <c r="C196" s="548" t="s">
        <v>268</v>
      </c>
      <c r="D196" s="538">
        <v>0</v>
      </c>
      <c r="E196" s="549"/>
      <c r="F196" s="549"/>
      <c r="G196" s="549"/>
      <c r="H196" s="549"/>
      <c r="I196" s="549"/>
      <c r="J196" s="549"/>
      <c r="K196" s="549"/>
      <c r="L196" s="549"/>
      <c r="M196" s="549"/>
      <c r="N196" s="549"/>
      <c r="O196" s="549"/>
      <c r="P196" s="549"/>
      <c r="Q196" s="549"/>
      <c r="R196" s="535">
        <f t="shared" si="18"/>
        <v>0</v>
      </c>
      <c r="S196" s="535">
        <f t="shared" si="16"/>
        <v>0</v>
      </c>
    </row>
    <row r="197" spans="1:19" s="541" customFormat="1">
      <c r="A197" s="536">
        <f t="shared" si="19"/>
        <v>777</v>
      </c>
      <c r="B197" s="547">
        <v>6118</v>
      </c>
      <c r="C197" s="548" t="s">
        <v>269</v>
      </c>
      <c r="D197" s="538">
        <v>0</v>
      </c>
      <c r="E197" s="549">
        <f>+'other Operating'!J28</f>
        <v>100</v>
      </c>
      <c r="F197" s="549">
        <f>+$E197/12</f>
        <v>8.3333333333333339</v>
      </c>
      <c r="G197" s="549">
        <f t="shared" ref="G197:Q197" si="39">+$E197/12</f>
        <v>8.3333333333333339</v>
      </c>
      <c r="H197" s="549">
        <f t="shared" si="39"/>
        <v>8.3333333333333339</v>
      </c>
      <c r="I197" s="549">
        <f t="shared" si="39"/>
        <v>8.3333333333333339</v>
      </c>
      <c r="J197" s="549">
        <f t="shared" si="39"/>
        <v>8.3333333333333339</v>
      </c>
      <c r="K197" s="549">
        <f t="shared" si="39"/>
        <v>8.3333333333333339</v>
      </c>
      <c r="L197" s="549">
        <f t="shared" si="39"/>
        <v>8.3333333333333339</v>
      </c>
      <c r="M197" s="549">
        <f t="shared" si="39"/>
        <v>8.3333333333333339</v>
      </c>
      <c r="N197" s="549">
        <f t="shared" si="39"/>
        <v>8.3333333333333339</v>
      </c>
      <c r="O197" s="549">
        <f t="shared" si="39"/>
        <v>8.3333333333333339</v>
      </c>
      <c r="P197" s="549">
        <f t="shared" si="39"/>
        <v>8.3333333333333339</v>
      </c>
      <c r="Q197" s="549">
        <f t="shared" si="39"/>
        <v>8.3333333333333339</v>
      </c>
      <c r="R197" s="535">
        <f t="shared" si="18"/>
        <v>99.999999999999986</v>
      </c>
      <c r="S197" s="535">
        <f t="shared" si="16"/>
        <v>0</v>
      </c>
    </row>
    <row r="198" spans="1:19">
      <c r="A198" s="174">
        <f t="shared" si="19"/>
        <v>777</v>
      </c>
      <c r="B198" s="118">
        <v>6120</v>
      </c>
      <c r="C198" s="119" t="s">
        <v>270</v>
      </c>
      <c r="D198" s="113">
        <v>0</v>
      </c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09">
        <f t="shared" si="18"/>
        <v>0</v>
      </c>
      <c r="S198" s="109">
        <f t="shared" ref="S198:S216" si="40">+E198-R198</f>
        <v>0</v>
      </c>
    </row>
    <row r="199" spans="1:19">
      <c r="A199" s="174">
        <f t="shared" si="19"/>
        <v>777</v>
      </c>
      <c r="B199" s="118">
        <v>6305</v>
      </c>
      <c r="C199" s="119" t="s">
        <v>101</v>
      </c>
      <c r="D199" s="113">
        <v>0</v>
      </c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09">
        <f t="shared" ref="R199:R216" si="41">SUM(F199:Q199)</f>
        <v>0</v>
      </c>
      <c r="S199" s="109">
        <f t="shared" si="40"/>
        <v>0</v>
      </c>
    </row>
    <row r="200" spans="1:19">
      <c r="A200" s="174">
        <f t="shared" si="19"/>
        <v>777</v>
      </c>
      <c r="B200" s="118">
        <v>6450</v>
      </c>
      <c r="C200" s="119" t="s">
        <v>101</v>
      </c>
      <c r="D200" s="113">
        <v>0</v>
      </c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09">
        <f t="shared" si="41"/>
        <v>0</v>
      </c>
      <c r="S200" s="109">
        <f t="shared" si="40"/>
        <v>0</v>
      </c>
    </row>
    <row r="201" spans="1:19">
      <c r="A201" s="174">
        <f t="shared" ref="A201:A232" si="42">+A200</f>
        <v>777</v>
      </c>
      <c r="B201" s="118">
        <v>6501</v>
      </c>
      <c r="C201" s="119" t="s">
        <v>271</v>
      </c>
      <c r="D201" s="113">
        <v>0</v>
      </c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09">
        <f t="shared" si="41"/>
        <v>0</v>
      </c>
      <c r="S201" s="109">
        <f t="shared" si="40"/>
        <v>0</v>
      </c>
    </row>
    <row r="202" spans="1:19">
      <c r="A202" s="174">
        <f t="shared" si="42"/>
        <v>777</v>
      </c>
      <c r="B202" s="118">
        <v>6505</v>
      </c>
      <c r="C202" s="119" t="s">
        <v>272</v>
      </c>
      <c r="D202" s="113">
        <v>0</v>
      </c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09">
        <f t="shared" si="41"/>
        <v>0</v>
      </c>
      <c r="S202" s="109">
        <f t="shared" si="40"/>
        <v>0</v>
      </c>
    </row>
    <row r="203" spans="1:19">
      <c r="A203" s="174">
        <f t="shared" si="42"/>
        <v>777</v>
      </c>
      <c r="B203" s="118">
        <v>6510</v>
      </c>
      <c r="C203" s="119" t="s">
        <v>273</v>
      </c>
      <c r="D203" s="113">
        <v>0</v>
      </c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09">
        <f t="shared" si="41"/>
        <v>0</v>
      </c>
      <c r="S203" s="109">
        <f t="shared" si="40"/>
        <v>0</v>
      </c>
    </row>
    <row r="204" spans="1:19">
      <c r="A204" s="174">
        <f t="shared" si="42"/>
        <v>777</v>
      </c>
      <c r="B204" s="118">
        <v>6515</v>
      </c>
      <c r="C204" s="119" t="s">
        <v>274</v>
      </c>
      <c r="D204" s="113">
        <v>0</v>
      </c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09">
        <f t="shared" si="41"/>
        <v>0</v>
      </c>
      <c r="S204" s="109">
        <f t="shared" si="40"/>
        <v>0</v>
      </c>
    </row>
    <row r="205" spans="1:19">
      <c r="A205" s="174">
        <f t="shared" si="42"/>
        <v>777</v>
      </c>
      <c r="B205" s="118">
        <v>6520</v>
      </c>
      <c r="C205" s="119" t="s">
        <v>275</v>
      </c>
      <c r="D205" s="113">
        <v>0</v>
      </c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09">
        <f t="shared" si="41"/>
        <v>0</v>
      </c>
      <c r="S205" s="109">
        <f t="shared" si="40"/>
        <v>0</v>
      </c>
    </row>
    <row r="206" spans="1:19">
      <c r="A206" s="174">
        <f t="shared" si="42"/>
        <v>777</v>
      </c>
      <c r="B206" s="118">
        <v>6525</v>
      </c>
      <c r="C206" s="119" t="s">
        <v>276</v>
      </c>
      <c r="D206" s="113">
        <v>0</v>
      </c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09">
        <f t="shared" si="41"/>
        <v>0</v>
      </c>
      <c r="S206" s="109">
        <f t="shared" si="40"/>
        <v>0</v>
      </c>
    </row>
    <row r="207" spans="1:19">
      <c r="A207" s="174">
        <f t="shared" si="42"/>
        <v>777</v>
      </c>
      <c r="B207" s="118">
        <v>6900</v>
      </c>
      <c r="C207" s="119" t="s">
        <v>277</v>
      </c>
      <c r="D207" s="113">
        <v>0</v>
      </c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09">
        <f t="shared" si="41"/>
        <v>0</v>
      </c>
      <c r="S207" s="109">
        <f t="shared" si="40"/>
        <v>0</v>
      </c>
    </row>
    <row r="208" spans="1:19">
      <c r="A208" s="174">
        <f t="shared" si="42"/>
        <v>777</v>
      </c>
      <c r="B208" s="118">
        <v>6901</v>
      </c>
      <c r="C208" s="119" t="s">
        <v>278</v>
      </c>
      <c r="D208" s="113">
        <v>0</v>
      </c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09">
        <f t="shared" si="41"/>
        <v>0</v>
      </c>
      <c r="S208" s="109">
        <f t="shared" si="40"/>
        <v>0</v>
      </c>
    </row>
    <row r="209" spans="1:19">
      <c r="A209" s="174">
        <f t="shared" si="42"/>
        <v>777</v>
      </c>
      <c r="B209" s="118">
        <v>6905</v>
      </c>
      <c r="C209" s="119" t="s">
        <v>279</v>
      </c>
      <c r="D209" s="113">
        <v>0</v>
      </c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09">
        <f t="shared" si="41"/>
        <v>0</v>
      </c>
      <c r="S209" s="109">
        <f t="shared" si="40"/>
        <v>0</v>
      </c>
    </row>
    <row r="210" spans="1:19">
      <c r="A210" s="174">
        <f t="shared" si="42"/>
        <v>777</v>
      </c>
      <c r="B210" s="118">
        <v>7005</v>
      </c>
      <c r="C210" s="119" t="s">
        <v>280</v>
      </c>
      <c r="D210" s="113">
        <v>0</v>
      </c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09">
        <f t="shared" si="41"/>
        <v>0</v>
      </c>
      <c r="S210" s="109">
        <f t="shared" si="40"/>
        <v>0</v>
      </c>
    </row>
    <row r="211" spans="1:19">
      <c r="A211" s="174">
        <f t="shared" si="42"/>
        <v>777</v>
      </c>
      <c r="B211" s="118">
        <v>7006</v>
      </c>
      <c r="C211" s="119" t="s">
        <v>281</v>
      </c>
      <c r="D211" s="113">
        <v>0</v>
      </c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09">
        <f t="shared" si="41"/>
        <v>0</v>
      </c>
      <c r="S211" s="109">
        <f t="shared" si="40"/>
        <v>0</v>
      </c>
    </row>
    <row r="212" spans="1:19">
      <c r="A212" s="174">
        <f t="shared" si="42"/>
        <v>777</v>
      </c>
      <c r="B212" s="118">
        <v>7007</v>
      </c>
      <c r="C212" s="119" t="s">
        <v>282</v>
      </c>
      <c r="D212" s="113">
        <v>0</v>
      </c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09">
        <f t="shared" si="41"/>
        <v>0</v>
      </c>
      <c r="S212" s="109">
        <f t="shared" si="40"/>
        <v>0</v>
      </c>
    </row>
    <row r="213" spans="1:19">
      <c r="A213" s="174">
        <f t="shared" si="42"/>
        <v>777</v>
      </c>
      <c r="B213" s="118">
        <v>7010</v>
      </c>
      <c r="C213" s="119" t="s">
        <v>283</v>
      </c>
      <c r="D213" s="113">
        <v>0</v>
      </c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09">
        <f t="shared" si="41"/>
        <v>0</v>
      </c>
      <c r="S213" s="109">
        <f t="shared" si="40"/>
        <v>0</v>
      </c>
    </row>
    <row r="214" spans="1:19">
      <c r="A214" s="174">
        <f t="shared" si="42"/>
        <v>777</v>
      </c>
      <c r="B214" s="118">
        <v>7030</v>
      </c>
      <c r="C214" s="119" t="s">
        <v>284</v>
      </c>
      <c r="D214" s="113">
        <v>0</v>
      </c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09">
        <f t="shared" si="41"/>
        <v>0</v>
      </c>
      <c r="S214" s="109">
        <f t="shared" si="40"/>
        <v>0</v>
      </c>
    </row>
    <row r="215" spans="1:19">
      <c r="A215" s="174">
        <f t="shared" si="42"/>
        <v>777</v>
      </c>
      <c r="B215" s="118">
        <v>7035</v>
      </c>
      <c r="C215" s="119" t="s">
        <v>285</v>
      </c>
      <c r="D215" s="113">
        <v>0</v>
      </c>
      <c r="E215" s="110">
        <f>+CAP!H15</f>
        <v>0</v>
      </c>
      <c r="F215" s="110">
        <f>+$E$215/12</f>
        <v>0</v>
      </c>
      <c r="G215" s="110">
        <f t="shared" ref="G215:Q215" si="43">+$E$215/12</f>
        <v>0</v>
      </c>
      <c r="H215" s="110">
        <f t="shared" si="43"/>
        <v>0</v>
      </c>
      <c r="I215" s="110">
        <f t="shared" si="43"/>
        <v>0</v>
      </c>
      <c r="J215" s="110">
        <f t="shared" si="43"/>
        <v>0</v>
      </c>
      <c r="K215" s="110">
        <f t="shared" si="43"/>
        <v>0</v>
      </c>
      <c r="L215" s="110">
        <f t="shared" si="43"/>
        <v>0</v>
      </c>
      <c r="M215" s="110">
        <f t="shared" si="43"/>
        <v>0</v>
      </c>
      <c r="N215" s="110">
        <f t="shared" si="43"/>
        <v>0</v>
      </c>
      <c r="O215" s="110">
        <f t="shared" si="43"/>
        <v>0</v>
      </c>
      <c r="P215" s="110">
        <f t="shared" si="43"/>
        <v>0</v>
      </c>
      <c r="Q215" s="110">
        <f t="shared" si="43"/>
        <v>0</v>
      </c>
      <c r="R215" s="109">
        <f t="shared" si="41"/>
        <v>0</v>
      </c>
      <c r="S215" s="109">
        <f t="shared" si="40"/>
        <v>0</v>
      </c>
    </row>
    <row r="216" spans="1:19">
      <c r="A216" s="174">
        <f t="shared" si="42"/>
        <v>777</v>
      </c>
      <c r="B216" s="118">
        <v>7040</v>
      </c>
      <c r="C216" s="119" t="s">
        <v>286</v>
      </c>
      <c r="D216" s="113">
        <v>0</v>
      </c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09">
        <f t="shared" si="41"/>
        <v>0</v>
      </c>
      <c r="S216" s="109">
        <f t="shared" si="40"/>
        <v>0</v>
      </c>
    </row>
    <row r="217" spans="1:19">
      <c r="A217" s="174">
        <f t="shared" si="42"/>
        <v>777</v>
      </c>
      <c r="B217" s="118">
        <v>7045</v>
      </c>
      <c r="C217" s="119" t="s">
        <v>287</v>
      </c>
      <c r="D217" s="113">
        <v>0</v>
      </c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>
        <f t="shared" ref="R217:R232" si="44">SUM(F217:Q217)</f>
        <v>0</v>
      </c>
      <c r="S217" s="109">
        <f t="shared" ref="S217:S233" si="45">+E217-R217</f>
        <v>0</v>
      </c>
    </row>
    <row r="218" spans="1:19">
      <c r="A218" s="174">
        <f t="shared" si="42"/>
        <v>777</v>
      </c>
      <c r="B218" s="118">
        <v>7050</v>
      </c>
      <c r="C218" s="119" t="s">
        <v>288</v>
      </c>
      <c r="D218" s="113">
        <v>0</v>
      </c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>
        <f t="shared" si="44"/>
        <v>0</v>
      </c>
      <c r="S218" s="109">
        <f t="shared" si="45"/>
        <v>0</v>
      </c>
    </row>
    <row r="219" spans="1:19">
      <c r="A219" s="174">
        <f t="shared" si="42"/>
        <v>777</v>
      </c>
      <c r="B219" s="118">
        <v>7055</v>
      </c>
      <c r="C219" s="119" t="s">
        <v>289</v>
      </c>
      <c r="D219" s="113">
        <v>0</v>
      </c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>
        <f t="shared" si="44"/>
        <v>0</v>
      </c>
      <c r="S219" s="109">
        <f t="shared" si="45"/>
        <v>0</v>
      </c>
    </row>
    <row r="220" spans="1:19">
      <c r="A220" s="174">
        <f t="shared" si="42"/>
        <v>777</v>
      </c>
      <c r="B220" s="118">
        <v>7060</v>
      </c>
      <c r="C220" s="119" t="s">
        <v>290</v>
      </c>
      <c r="D220" s="113">
        <v>0</v>
      </c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>
        <f t="shared" si="44"/>
        <v>0</v>
      </c>
      <c r="S220" s="109">
        <f t="shared" si="45"/>
        <v>0</v>
      </c>
    </row>
    <row r="221" spans="1:19">
      <c r="A221" s="174">
        <f t="shared" si="42"/>
        <v>777</v>
      </c>
      <c r="B221" s="118">
        <v>7065</v>
      </c>
      <c r="C221" s="119" t="s">
        <v>291</v>
      </c>
      <c r="D221" s="113">
        <v>0</v>
      </c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>
        <f t="shared" si="44"/>
        <v>0</v>
      </c>
      <c r="S221" s="109">
        <f t="shared" si="45"/>
        <v>0</v>
      </c>
    </row>
    <row r="222" spans="1:19">
      <c r="A222" s="174">
        <f t="shared" si="42"/>
        <v>777</v>
      </c>
      <c r="B222" s="118">
        <v>7069</v>
      </c>
      <c r="C222" s="119" t="s">
        <v>292</v>
      </c>
      <c r="D222" s="113">
        <v>0</v>
      </c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>
        <f t="shared" si="44"/>
        <v>0</v>
      </c>
      <c r="S222" s="109">
        <f t="shared" si="45"/>
        <v>0</v>
      </c>
    </row>
    <row r="223" spans="1:19">
      <c r="A223" s="174">
        <f t="shared" si="42"/>
        <v>777</v>
      </c>
      <c r="B223" s="118">
        <v>7070</v>
      </c>
      <c r="C223" s="119" t="s">
        <v>293</v>
      </c>
      <c r="D223" s="113">
        <v>0</v>
      </c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>
        <f t="shared" si="44"/>
        <v>0</v>
      </c>
      <c r="S223" s="109">
        <f t="shared" si="45"/>
        <v>0</v>
      </c>
    </row>
    <row r="224" spans="1:19">
      <c r="A224" s="174">
        <f t="shared" si="42"/>
        <v>777</v>
      </c>
      <c r="B224" s="118">
        <v>7071</v>
      </c>
      <c r="C224" s="119" t="s">
        <v>294</v>
      </c>
      <c r="D224" s="113">
        <v>0</v>
      </c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>
        <f t="shared" si="44"/>
        <v>0</v>
      </c>
      <c r="S224" s="109">
        <f t="shared" si="45"/>
        <v>0</v>
      </c>
    </row>
    <row r="225" spans="1:19">
      <c r="A225" s="174">
        <f t="shared" si="42"/>
        <v>777</v>
      </c>
      <c r="B225" s="118">
        <v>7080</v>
      </c>
      <c r="C225" s="119" t="s">
        <v>295</v>
      </c>
      <c r="D225" s="113">
        <v>0</v>
      </c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>
        <f t="shared" si="44"/>
        <v>0</v>
      </c>
      <c r="S225" s="109">
        <f t="shared" si="45"/>
        <v>0</v>
      </c>
    </row>
    <row r="226" spans="1:19">
      <c r="A226" s="174">
        <f t="shared" si="42"/>
        <v>777</v>
      </c>
      <c r="B226" s="118">
        <v>7085</v>
      </c>
      <c r="C226" s="119" t="s">
        <v>296</v>
      </c>
      <c r="D226" s="113">
        <v>0</v>
      </c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>
        <f t="shared" si="44"/>
        <v>0</v>
      </c>
      <c r="S226" s="109">
        <f t="shared" si="45"/>
        <v>0</v>
      </c>
    </row>
    <row r="227" spans="1:19">
      <c r="A227" s="174">
        <f t="shared" si="42"/>
        <v>777</v>
      </c>
      <c r="B227" s="118">
        <v>7090</v>
      </c>
      <c r="C227" s="119" t="s">
        <v>297</v>
      </c>
      <c r="D227" s="113">
        <v>0</v>
      </c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>
        <f t="shared" si="44"/>
        <v>0</v>
      </c>
      <c r="S227" s="109">
        <f t="shared" si="45"/>
        <v>0</v>
      </c>
    </row>
    <row r="228" spans="1:19">
      <c r="A228" s="174">
        <f t="shared" si="42"/>
        <v>777</v>
      </c>
      <c r="B228" s="118">
        <v>7095</v>
      </c>
      <c r="C228" s="119" t="s">
        <v>298</v>
      </c>
      <c r="D228" s="113">
        <v>0</v>
      </c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>
        <f t="shared" si="44"/>
        <v>0</v>
      </c>
      <c r="S228" s="109">
        <f t="shared" si="45"/>
        <v>0</v>
      </c>
    </row>
    <row r="229" spans="1:19">
      <c r="A229" s="174">
        <f t="shared" si="42"/>
        <v>777</v>
      </c>
      <c r="B229" s="118">
        <v>7100</v>
      </c>
      <c r="C229" s="119" t="s">
        <v>299</v>
      </c>
      <c r="D229" s="113">
        <v>0</v>
      </c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>
        <f t="shared" si="44"/>
        <v>0</v>
      </c>
      <c r="S229" s="109">
        <f t="shared" si="45"/>
        <v>0</v>
      </c>
    </row>
    <row r="230" spans="1:19">
      <c r="A230" s="174">
        <f t="shared" si="42"/>
        <v>777</v>
      </c>
      <c r="B230" s="118">
        <v>7105</v>
      </c>
      <c r="C230" s="119" t="s">
        <v>300</v>
      </c>
      <c r="D230" s="113">
        <v>0</v>
      </c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>
        <f t="shared" si="44"/>
        <v>0</v>
      </c>
      <c r="S230" s="109">
        <f t="shared" si="45"/>
        <v>0</v>
      </c>
    </row>
    <row r="231" spans="1:19">
      <c r="A231" s="174">
        <f t="shared" si="42"/>
        <v>777</v>
      </c>
      <c r="B231" s="118">
        <v>7110</v>
      </c>
      <c r="C231" s="119" t="s">
        <v>301</v>
      </c>
      <c r="D231" s="113">
        <v>0</v>
      </c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>
        <f t="shared" si="44"/>
        <v>0</v>
      </c>
      <c r="S231" s="109">
        <f t="shared" si="45"/>
        <v>0</v>
      </c>
    </row>
    <row r="232" spans="1:19">
      <c r="A232" s="174">
        <f t="shared" si="42"/>
        <v>777</v>
      </c>
      <c r="B232" s="118">
        <v>7115</v>
      </c>
      <c r="C232" s="119" t="s">
        <v>302</v>
      </c>
      <c r="D232" s="113">
        <v>0</v>
      </c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>
        <f t="shared" si="44"/>
        <v>0</v>
      </c>
      <c r="S232" s="109">
        <f t="shared" si="45"/>
        <v>0</v>
      </c>
    </row>
    <row r="233" spans="1:19">
      <c r="A233" s="103"/>
      <c r="B233" s="105"/>
      <c r="C233" s="66"/>
      <c r="D233" s="66"/>
      <c r="E233" s="109">
        <f>SUM(E7:E232)</f>
        <v>-42649.933190975367</v>
      </c>
      <c r="F233" s="111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11">
        <f>SUM(R7:R232)</f>
        <v>-43339.933190975484</v>
      </c>
      <c r="S233" s="109">
        <f t="shared" si="45"/>
        <v>690.00000000011642</v>
      </c>
    </row>
    <row r="234" spans="1:19">
      <c r="A234" s="103"/>
      <c r="B234" s="105"/>
      <c r="C234" s="66"/>
      <c r="D234" s="6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1:19">
      <c r="A235" s="103"/>
      <c r="B235" s="105"/>
      <c r="C235" s="66"/>
      <c r="D235" s="6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1:19">
      <c r="A236" s="103"/>
      <c r="B236" s="105"/>
      <c r="C236" s="66"/>
      <c r="D236" s="66"/>
      <c r="E236" s="106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6"/>
      <c r="S236" s="106"/>
    </row>
    <row r="237" spans="1:19">
      <c r="A237" s="103"/>
      <c r="B237" s="105"/>
      <c r="C237" s="66"/>
      <c r="D237" s="6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1:19">
      <c r="A238" s="103"/>
      <c r="B238" s="105"/>
      <c r="C238" s="66"/>
      <c r="D238" s="6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1:19">
      <c r="A239" s="103"/>
      <c r="B239" s="105"/>
      <c r="C239" s="66"/>
      <c r="D239" s="66"/>
      <c r="E239" s="106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6"/>
      <c r="S239" s="106"/>
    </row>
    <row r="240" spans="1:19">
      <c r="A240" s="103"/>
      <c r="B240" s="105"/>
      <c r="C240" s="66"/>
      <c r="D240" s="6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1:19">
      <c r="A241" s="103"/>
      <c r="B241" s="105"/>
      <c r="C241" s="66"/>
      <c r="D241" s="6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1:19">
      <c r="A242" s="103"/>
      <c r="B242" s="105"/>
      <c r="C242" s="66"/>
      <c r="D242" s="6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1:19">
      <c r="A243" s="103"/>
      <c r="B243" s="105"/>
      <c r="C243" s="66"/>
      <c r="D243" s="6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1:19">
      <c r="A244" s="103"/>
      <c r="B244" s="105"/>
      <c r="C244" s="66"/>
      <c r="D244" s="6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1:19"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1:19"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1:19"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1:19"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1:19"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1:19"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1:19"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1:19"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1:19"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1:19"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1:19"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</row>
    <row r="256" spans="1:19"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</row>
  </sheetData>
  <autoFilter ref="A6:T232"/>
  <phoneticPr fontId="31" type="noConversion"/>
  <pageMargins left="0.75" right="0.75" top="1" bottom="1" header="0.5" footer="0.5"/>
  <pageSetup scale="6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6"/>
  <sheetViews>
    <sheetView showOutlineSymbols="0" topLeftCell="A13" zoomScale="87" workbookViewId="0">
      <selection activeCell="J47" sqref="J47"/>
    </sheetView>
  </sheetViews>
  <sheetFormatPr defaultColWidth="11.44140625" defaultRowHeight="14.25"/>
  <cols>
    <col min="1" max="1" width="5.88671875" style="27" customWidth="1"/>
    <col min="2" max="2" width="30.88671875" style="27" customWidth="1"/>
    <col min="3" max="3" width="1.6640625" style="27" customWidth="1"/>
    <col min="4" max="4" width="11.33203125" style="27" customWidth="1"/>
    <col min="5" max="6" width="9.21875" style="27" customWidth="1"/>
    <col min="7" max="7" width="8.77734375" style="27" customWidth="1"/>
    <col min="8" max="8" width="11.33203125" style="27" customWidth="1"/>
    <col min="9" max="9" width="9.5546875" style="27" customWidth="1"/>
    <col min="10" max="10" width="11" style="27" customWidth="1"/>
    <col min="11" max="16384" width="11.44140625" style="27"/>
  </cols>
  <sheetData>
    <row r="1" spans="1:11" ht="15.75">
      <c r="B1" s="605" t="str">
        <f>+COV!C23</f>
        <v>Sample Ave Condominium</v>
      </c>
      <c r="C1" s="605"/>
      <c r="D1" s="605"/>
      <c r="E1" s="605"/>
      <c r="F1" s="605"/>
      <c r="G1" s="605"/>
      <c r="H1" s="605"/>
      <c r="I1" s="605"/>
      <c r="J1" s="605"/>
    </row>
    <row r="2" spans="1:11" ht="15.75">
      <c r="B2" s="606" t="s">
        <v>73</v>
      </c>
      <c r="C2" s="606"/>
      <c r="D2" s="606"/>
      <c r="E2" s="606"/>
      <c r="F2" s="606"/>
      <c r="G2" s="606"/>
      <c r="H2" s="606"/>
      <c r="I2" s="606"/>
      <c r="J2" s="606"/>
    </row>
    <row r="3" spans="1:11" ht="15.75">
      <c r="B3" s="607" t="str">
        <f>yrlycomp!A3</f>
        <v>For Year Ending 12/31/15</v>
      </c>
      <c r="C3" s="607"/>
      <c r="D3" s="607"/>
      <c r="E3" s="607"/>
      <c r="F3" s="607"/>
      <c r="G3" s="607"/>
      <c r="H3" s="607"/>
      <c r="I3" s="607"/>
      <c r="J3" s="607"/>
    </row>
    <row r="4" spans="1:11" ht="15.75">
      <c r="B4" s="348"/>
      <c r="C4" s="348"/>
      <c r="D4" s="348"/>
      <c r="E4" s="348"/>
      <c r="F4" s="348"/>
      <c r="G4" s="348"/>
      <c r="H4" s="348"/>
      <c r="I4" s="348"/>
      <c r="J4" s="348"/>
    </row>
    <row r="5" spans="1:11" ht="15.75">
      <c r="D5" s="26"/>
      <c r="E5" s="26"/>
      <c r="F5" s="26"/>
    </row>
    <row r="6" spans="1:11" ht="15">
      <c r="D6" s="351">
        <f>+yrlycomp!F6</f>
        <v>2014</v>
      </c>
      <c r="E6" s="259"/>
      <c r="F6" s="259"/>
      <c r="G6" s="351">
        <f>+$D$6</f>
        <v>2014</v>
      </c>
      <c r="H6" s="351">
        <f>+$D$6</f>
        <v>2014</v>
      </c>
      <c r="I6" s="351">
        <f>+$D$6</f>
        <v>2014</v>
      </c>
      <c r="J6" s="352">
        <f>+I6+1</f>
        <v>2015</v>
      </c>
    </row>
    <row r="7" spans="1:11" ht="15">
      <c r="C7" s="259"/>
      <c r="D7" s="259" t="s">
        <v>322</v>
      </c>
      <c r="E7" s="59" t="s">
        <v>42</v>
      </c>
      <c r="F7" s="59" t="s">
        <v>68</v>
      </c>
      <c r="G7" s="259" t="s">
        <v>323</v>
      </c>
      <c r="H7" s="259" t="s">
        <v>40</v>
      </c>
      <c r="I7" s="259" t="s">
        <v>2</v>
      </c>
      <c r="J7" s="114" t="s">
        <v>2</v>
      </c>
    </row>
    <row r="8" spans="1:11" ht="15.75">
      <c r="A8" s="114" t="s">
        <v>80</v>
      </c>
      <c r="B8" s="90" t="s">
        <v>54</v>
      </c>
      <c r="C8" s="28"/>
      <c r="D8" s="28" t="s">
        <v>27</v>
      </c>
      <c r="E8" s="60" t="s">
        <v>456</v>
      </c>
      <c r="F8" s="86" t="s">
        <v>69</v>
      </c>
      <c r="G8" s="28" t="s">
        <v>361</v>
      </c>
      <c r="H8" s="28" t="s">
        <v>41</v>
      </c>
      <c r="I8" s="28"/>
      <c r="J8" s="125"/>
    </row>
    <row r="9" spans="1:11" s="556" customFormat="1" ht="15.75">
      <c r="A9" s="551">
        <v>5045</v>
      </c>
      <c r="B9" s="552" t="s">
        <v>434</v>
      </c>
      <c r="C9" s="553"/>
      <c r="D9" s="554">
        <v>2600</v>
      </c>
      <c r="E9" s="554">
        <v>0</v>
      </c>
      <c r="F9" s="554">
        <v>-1854.8400000000001</v>
      </c>
      <c r="G9" s="554">
        <f>ROUNDUP(SUM(D9:F9)/10*2,-1)</f>
        <v>150</v>
      </c>
      <c r="H9" s="554">
        <f t="shared" ref="H9:H28" si="0">SUM(D9:G9)</f>
        <v>895.15999999999985</v>
      </c>
      <c r="I9" s="554">
        <v>0</v>
      </c>
      <c r="J9" s="555">
        <v>0</v>
      </c>
    </row>
    <row r="10" spans="1:11" s="556" customFormat="1" ht="15.75">
      <c r="A10" s="551">
        <v>5702</v>
      </c>
      <c r="B10" s="552" t="s">
        <v>407</v>
      </c>
      <c r="C10" s="553"/>
      <c r="D10" s="557">
        <v>1500</v>
      </c>
      <c r="E10" s="557">
        <v>0</v>
      </c>
      <c r="F10" s="557">
        <v>-756.22</v>
      </c>
      <c r="G10" s="557">
        <f t="shared" ref="G10:G28" si="1">ROUNDUP(SUM(D10:F10)/10*2,-1)</f>
        <v>150</v>
      </c>
      <c r="H10" s="557">
        <f t="shared" si="0"/>
        <v>893.78</v>
      </c>
      <c r="I10" s="557">
        <v>800</v>
      </c>
      <c r="J10" s="558">
        <v>2000</v>
      </c>
    </row>
    <row r="11" spans="1:11" s="556" customFormat="1" ht="15.75">
      <c r="A11" s="551">
        <v>5705</v>
      </c>
      <c r="B11" s="552" t="s">
        <v>406</v>
      </c>
      <c r="C11" s="559"/>
      <c r="D11" s="557">
        <v>7800</v>
      </c>
      <c r="E11" s="557">
        <v>0</v>
      </c>
      <c r="F11" s="557">
        <v>-1243.22</v>
      </c>
      <c r="G11" s="557">
        <f t="shared" si="1"/>
        <v>1320</v>
      </c>
      <c r="H11" s="557">
        <f t="shared" si="0"/>
        <v>7876.78</v>
      </c>
      <c r="I11" s="557">
        <v>7500</v>
      </c>
      <c r="J11" s="558">
        <v>7500</v>
      </c>
      <c r="K11" s="560"/>
    </row>
    <row r="12" spans="1:11" s="556" customFormat="1" ht="15.75">
      <c r="A12" s="551">
        <v>5710</v>
      </c>
      <c r="B12" s="552" t="s">
        <v>405</v>
      </c>
      <c r="C12" s="553"/>
      <c r="D12" s="557">
        <v>800</v>
      </c>
      <c r="E12" s="557">
        <v>0</v>
      </c>
      <c r="F12" s="557">
        <v>-228.63</v>
      </c>
      <c r="G12" s="557">
        <f t="shared" si="1"/>
        <v>120</v>
      </c>
      <c r="H12" s="557">
        <f t="shared" si="0"/>
        <v>691.37</v>
      </c>
      <c r="I12" s="557">
        <v>1000</v>
      </c>
      <c r="J12" s="558">
        <v>900</v>
      </c>
    </row>
    <row r="13" spans="1:11" s="556" customFormat="1" ht="15.75">
      <c r="A13" s="551">
        <v>5720</v>
      </c>
      <c r="B13" s="552" t="s">
        <v>404</v>
      </c>
      <c r="C13" s="553"/>
      <c r="D13" s="557">
        <v>2700</v>
      </c>
      <c r="E13" s="557">
        <v>0</v>
      </c>
      <c r="F13" s="557">
        <v>0</v>
      </c>
      <c r="G13" s="557">
        <f t="shared" si="1"/>
        <v>540</v>
      </c>
      <c r="H13" s="557">
        <f t="shared" si="0"/>
        <v>3240</v>
      </c>
      <c r="I13" s="557">
        <v>7100</v>
      </c>
      <c r="J13" s="558">
        <v>3400</v>
      </c>
    </row>
    <row r="14" spans="1:11" s="556" customFormat="1" ht="15.75">
      <c r="A14" s="551">
        <v>5725</v>
      </c>
      <c r="B14" s="552" t="s">
        <v>403</v>
      </c>
      <c r="C14" s="561"/>
      <c r="D14" s="557">
        <v>7641</v>
      </c>
      <c r="E14" s="557">
        <v>0</v>
      </c>
      <c r="F14" s="557">
        <v>-707.68</v>
      </c>
      <c r="G14" s="557">
        <f t="shared" si="1"/>
        <v>1390</v>
      </c>
      <c r="H14" s="557">
        <f t="shared" si="0"/>
        <v>8323.32</v>
      </c>
      <c r="I14" s="557">
        <v>4500</v>
      </c>
      <c r="J14" s="558">
        <v>4500</v>
      </c>
    </row>
    <row r="15" spans="1:11" s="556" customFormat="1" ht="15.75">
      <c r="A15" s="551">
        <v>5732</v>
      </c>
      <c r="B15" s="552" t="s">
        <v>402</v>
      </c>
      <c r="C15" s="553"/>
      <c r="D15" s="557">
        <v>2259</v>
      </c>
      <c r="E15" s="557">
        <v>0</v>
      </c>
      <c r="F15" s="557">
        <v>0</v>
      </c>
      <c r="G15" s="557">
        <f t="shared" si="1"/>
        <v>460</v>
      </c>
      <c r="H15" s="557">
        <f t="shared" si="0"/>
        <v>2719</v>
      </c>
      <c r="I15" s="557">
        <v>3500</v>
      </c>
      <c r="J15" s="558">
        <v>2700</v>
      </c>
    </row>
    <row r="16" spans="1:11" s="556" customFormat="1" ht="15.75">
      <c r="A16" s="551">
        <v>5740</v>
      </c>
      <c r="B16" s="552" t="str">
        <f>+PROPER([3]glcoa_20130129!$C$273)</f>
        <v xml:space="preserve">Contract - Window Cleaning         </v>
      </c>
      <c r="C16" s="553"/>
      <c r="D16" s="557">
        <v>5988</v>
      </c>
      <c r="E16" s="557">
        <v>0</v>
      </c>
      <c r="F16" s="557">
        <v>0</v>
      </c>
      <c r="G16" s="557">
        <f t="shared" si="1"/>
        <v>1200</v>
      </c>
      <c r="H16" s="557">
        <f t="shared" si="0"/>
        <v>7188</v>
      </c>
      <c r="I16" s="557">
        <v>0</v>
      </c>
      <c r="J16" s="558">
        <v>0</v>
      </c>
    </row>
    <row r="17" spans="1:11" s="556" customFormat="1" ht="15.75">
      <c r="A17" s="551">
        <v>5741</v>
      </c>
      <c r="B17" s="552" t="s">
        <v>401</v>
      </c>
      <c r="C17" s="553"/>
      <c r="D17" s="557">
        <v>4093</v>
      </c>
      <c r="E17" s="557">
        <v>0</v>
      </c>
      <c r="F17" s="557">
        <v>-1569.44</v>
      </c>
      <c r="G17" s="557">
        <f t="shared" si="1"/>
        <v>510</v>
      </c>
      <c r="H17" s="557">
        <f t="shared" si="0"/>
        <v>3033.56</v>
      </c>
      <c r="I17" s="557">
        <v>3500</v>
      </c>
      <c r="J17" s="558">
        <v>3100</v>
      </c>
      <c r="K17" s="560"/>
    </row>
    <row r="18" spans="1:11" s="556" customFormat="1" ht="15.75">
      <c r="A18" s="551">
        <v>6010</v>
      </c>
      <c r="B18" s="552" t="s">
        <v>435</v>
      </c>
      <c r="C18" s="553"/>
      <c r="D18" s="557">
        <v>100</v>
      </c>
      <c r="E18" s="557">
        <v>0</v>
      </c>
      <c r="F18" s="557">
        <v>0</v>
      </c>
      <c r="G18" s="557">
        <v>1000</v>
      </c>
      <c r="H18" s="557">
        <f t="shared" si="0"/>
        <v>1100</v>
      </c>
      <c r="I18" s="557">
        <v>1000</v>
      </c>
      <c r="J18" s="558">
        <v>1100</v>
      </c>
    </row>
    <row r="19" spans="1:11" s="556" customFormat="1" ht="15.75" customHeight="1">
      <c r="A19" s="551">
        <v>6030</v>
      </c>
      <c r="B19" s="561" t="s">
        <v>28</v>
      </c>
      <c r="C19" s="553"/>
      <c r="D19" s="557">
        <v>840</v>
      </c>
      <c r="E19" s="557">
        <v>0</v>
      </c>
      <c r="F19" s="557">
        <v>-840</v>
      </c>
      <c r="G19" s="557">
        <v>2000</v>
      </c>
      <c r="H19" s="557">
        <f t="shared" si="0"/>
        <v>2000</v>
      </c>
      <c r="I19" s="557">
        <v>4000</v>
      </c>
      <c r="J19" s="558">
        <v>4000</v>
      </c>
    </row>
    <row r="20" spans="1:11" s="556" customFormat="1" ht="15.75" customHeight="1">
      <c r="A20" s="551">
        <v>6035</v>
      </c>
      <c r="B20" s="552" t="s">
        <v>400</v>
      </c>
      <c r="C20" s="553"/>
      <c r="D20" s="557">
        <f>-2221+743.07</f>
        <v>-1477.9299999999998</v>
      </c>
      <c r="E20" s="557">
        <v>0</v>
      </c>
      <c r="F20" s="557">
        <v>0</v>
      </c>
      <c r="G20" s="557">
        <f>ROUNDUP(743.07/10*2,-1)</f>
        <v>150</v>
      </c>
      <c r="H20" s="557">
        <f t="shared" si="0"/>
        <v>-1327.9299999999998</v>
      </c>
      <c r="I20" s="557">
        <v>500</v>
      </c>
      <c r="J20" s="558">
        <v>500</v>
      </c>
    </row>
    <row r="21" spans="1:11" ht="15.75" hidden="1" customHeight="1">
      <c r="A21" s="114">
        <v>6055</v>
      </c>
      <c r="B21" s="82" t="s">
        <v>30</v>
      </c>
      <c r="C21" s="84"/>
      <c r="D21" s="520">
        <v>0</v>
      </c>
      <c r="E21" s="518">
        <v>0</v>
      </c>
      <c r="F21" s="518">
        <v>0</v>
      </c>
      <c r="G21" s="518">
        <f t="shared" si="1"/>
        <v>0</v>
      </c>
      <c r="H21" s="518">
        <f t="shared" si="0"/>
        <v>0</v>
      </c>
      <c r="I21" s="518">
        <v>0</v>
      </c>
      <c r="J21" s="519">
        <f t="shared" ref="J21:J22" si="2">+ROUNDUP(H21*1.05,-2)</f>
        <v>0</v>
      </c>
    </row>
    <row r="22" spans="1:11" s="556" customFormat="1" ht="15.75" customHeight="1">
      <c r="A22" s="551">
        <v>6060</v>
      </c>
      <c r="B22" s="561" t="s">
        <v>29</v>
      </c>
      <c r="C22" s="559"/>
      <c r="D22" s="562">
        <v>1267</v>
      </c>
      <c r="E22" s="557">
        <v>0</v>
      </c>
      <c r="F22" s="557">
        <v>0</v>
      </c>
      <c r="G22" s="557">
        <f t="shared" si="1"/>
        <v>260</v>
      </c>
      <c r="H22" s="557">
        <f t="shared" si="0"/>
        <v>1527</v>
      </c>
      <c r="I22" s="557">
        <v>2000</v>
      </c>
      <c r="J22" s="558">
        <f t="shared" si="2"/>
        <v>1700</v>
      </c>
    </row>
    <row r="23" spans="1:11" s="556" customFormat="1" ht="15.75" customHeight="1">
      <c r="A23" s="551">
        <v>6065</v>
      </c>
      <c r="B23" s="552" t="s">
        <v>399</v>
      </c>
      <c r="C23" s="553"/>
      <c r="D23" s="557">
        <v>1307</v>
      </c>
      <c r="E23" s="557">
        <v>0</v>
      </c>
      <c r="F23" s="557">
        <v>0</v>
      </c>
      <c r="G23" s="557">
        <f t="shared" si="1"/>
        <v>270</v>
      </c>
      <c r="H23" s="557">
        <f t="shared" si="0"/>
        <v>1577</v>
      </c>
      <c r="I23" s="557">
        <v>1000</v>
      </c>
      <c r="J23" s="558">
        <v>1000</v>
      </c>
    </row>
    <row r="24" spans="1:11" s="556" customFormat="1" ht="15.75" customHeight="1">
      <c r="A24" s="551">
        <v>6070</v>
      </c>
      <c r="B24" s="552" t="s">
        <v>398</v>
      </c>
      <c r="C24" s="553"/>
      <c r="D24" s="557">
        <v>3250</v>
      </c>
      <c r="E24" s="557">
        <v>0</v>
      </c>
      <c r="F24" s="557">
        <v>-841.12</v>
      </c>
      <c r="G24" s="557">
        <f t="shared" si="1"/>
        <v>490</v>
      </c>
      <c r="H24" s="557">
        <f t="shared" si="0"/>
        <v>2898.88</v>
      </c>
      <c r="I24" s="557">
        <v>3000</v>
      </c>
      <c r="J24" s="558">
        <v>3000</v>
      </c>
    </row>
    <row r="25" spans="1:11" s="556" customFormat="1" ht="15.75" customHeight="1">
      <c r="A25" s="551">
        <v>6090</v>
      </c>
      <c r="B25" s="561" t="s">
        <v>354</v>
      </c>
      <c r="C25" s="559"/>
      <c r="D25" s="557">
        <v>2100</v>
      </c>
      <c r="E25" s="557">
        <v>0</v>
      </c>
      <c r="F25" s="557">
        <v>-2194.92</v>
      </c>
      <c r="G25" s="557">
        <f t="shared" si="1"/>
        <v>-20</v>
      </c>
      <c r="H25" s="557">
        <f t="shared" si="0"/>
        <v>-114.92000000000007</v>
      </c>
      <c r="I25" s="557">
        <v>3000</v>
      </c>
      <c r="J25" s="558">
        <v>3000</v>
      </c>
      <c r="K25" s="563"/>
    </row>
    <row r="26" spans="1:11" s="556" customFormat="1" ht="15.75" customHeight="1">
      <c r="A26" s="551">
        <v>6095</v>
      </c>
      <c r="B26" s="552" t="s">
        <v>397</v>
      </c>
      <c r="C26" s="559"/>
      <c r="D26" s="557">
        <v>0</v>
      </c>
      <c r="E26" s="557">
        <v>0</v>
      </c>
      <c r="F26" s="557">
        <v>0</v>
      </c>
      <c r="G26" s="557">
        <v>500</v>
      </c>
      <c r="H26" s="557">
        <f t="shared" si="0"/>
        <v>500</v>
      </c>
      <c r="I26" s="557">
        <v>500</v>
      </c>
      <c r="J26" s="558">
        <v>400</v>
      </c>
    </row>
    <row r="27" spans="1:11" s="556" customFormat="1" ht="15.75" customHeight="1">
      <c r="A27" s="551">
        <v>6116</v>
      </c>
      <c r="B27" s="561" t="s">
        <v>303</v>
      </c>
      <c r="C27" s="564"/>
      <c r="D27" s="557">
        <v>1470</v>
      </c>
      <c r="E27" s="557">
        <v>0</v>
      </c>
      <c r="F27" s="557">
        <v>0</v>
      </c>
      <c r="G27" s="557">
        <f t="shared" si="1"/>
        <v>300</v>
      </c>
      <c r="H27" s="557">
        <f t="shared" si="0"/>
        <v>1770</v>
      </c>
      <c r="I27" s="557">
        <v>2000</v>
      </c>
      <c r="J27" s="558">
        <v>2100</v>
      </c>
    </row>
    <row r="28" spans="1:11" s="556" customFormat="1" ht="15.75" customHeight="1">
      <c r="A28" s="551">
        <v>6118</v>
      </c>
      <c r="B28" s="552" t="s">
        <v>396</v>
      </c>
      <c r="C28" s="564"/>
      <c r="D28" s="557">
        <v>191</v>
      </c>
      <c r="E28" s="557">
        <v>0</v>
      </c>
      <c r="F28" s="557">
        <v>-190.53</v>
      </c>
      <c r="G28" s="557">
        <f t="shared" si="1"/>
        <v>10</v>
      </c>
      <c r="H28" s="557">
        <f t="shared" si="0"/>
        <v>10.469999999999999</v>
      </c>
      <c r="I28" s="557">
        <v>0</v>
      </c>
      <c r="J28" s="558">
        <v>100</v>
      </c>
    </row>
    <row r="29" spans="1:11" ht="15.75" customHeight="1" thickBot="1">
      <c r="A29" s="114"/>
      <c r="B29" s="85" t="s">
        <v>31</v>
      </c>
      <c r="C29" s="83"/>
      <c r="D29" s="516">
        <f t="shared" ref="D29:E29" si="3">SUM(D9:D28)</f>
        <v>44428.07</v>
      </c>
      <c r="E29" s="516">
        <f t="shared" si="3"/>
        <v>0</v>
      </c>
      <c r="F29" s="516">
        <f>SUM(F9:F28)</f>
        <v>-10426.6</v>
      </c>
      <c r="G29" s="516">
        <f t="shared" ref="G29:J29" si="4">SUM(G9:G28)</f>
        <v>10800</v>
      </c>
      <c r="H29" s="516">
        <f t="shared" si="4"/>
        <v>44801.47</v>
      </c>
      <c r="I29" s="516">
        <f t="shared" si="4"/>
        <v>44900</v>
      </c>
      <c r="J29" s="517">
        <f t="shared" si="4"/>
        <v>41000</v>
      </c>
    </row>
    <row r="30" spans="1:11" ht="15.75" thickTop="1">
      <c r="A30" s="114"/>
      <c r="F30" s="81"/>
      <c r="J30" s="126"/>
    </row>
    <row r="31" spans="1:11" ht="15.75">
      <c r="A31" s="114"/>
      <c r="B31" s="91" t="s">
        <v>72</v>
      </c>
      <c r="F31" s="81"/>
      <c r="J31" s="126"/>
    </row>
    <row r="32" spans="1:11" ht="15.75">
      <c r="A32" s="114">
        <v>5510</v>
      </c>
      <c r="B32" s="31" t="s">
        <v>457</v>
      </c>
      <c r="D32" s="514">
        <v>10</v>
      </c>
      <c r="E32" s="514">
        <v>0</v>
      </c>
      <c r="F32" s="514">
        <v>0</v>
      </c>
      <c r="G32" s="514">
        <f t="shared" ref="G32:G40" si="5">ROUNDUP(SUM(D32:F32)/10*2,-1)</f>
        <v>10</v>
      </c>
      <c r="H32" s="514">
        <f t="shared" ref="H32:H40" si="6">SUM(D32:G32)</f>
        <v>20</v>
      </c>
      <c r="I32" s="514">
        <v>0</v>
      </c>
      <c r="J32" s="515">
        <v>100</v>
      </c>
    </row>
    <row r="33" spans="1:10" s="556" customFormat="1" ht="15.75">
      <c r="A33" s="551">
        <v>5515</v>
      </c>
      <c r="B33" s="565" t="s">
        <v>66</v>
      </c>
      <c r="D33" s="557">
        <v>2100</v>
      </c>
      <c r="E33" s="557">
        <v>0</v>
      </c>
      <c r="F33" s="557">
        <v>-236.97</v>
      </c>
      <c r="G33" s="557">
        <f t="shared" si="5"/>
        <v>380</v>
      </c>
      <c r="H33" s="557">
        <f t="shared" si="6"/>
        <v>2243.0299999999997</v>
      </c>
      <c r="I33" s="557">
        <v>3500</v>
      </c>
      <c r="J33" s="558">
        <v>3500</v>
      </c>
    </row>
    <row r="34" spans="1:10" s="556" customFormat="1" ht="15.75">
      <c r="A34" s="551">
        <v>5540</v>
      </c>
      <c r="B34" s="565" t="s">
        <v>32</v>
      </c>
      <c r="D34" s="557">
        <v>175</v>
      </c>
      <c r="E34" s="557">
        <v>0</v>
      </c>
      <c r="F34" s="557">
        <v>0</v>
      </c>
      <c r="G34" s="557">
        <f t="shared" si="5"/>
        <v>40</v>
      </c>
      <c r="H34" s="557">
        <f t="shared" si="6"/>
        <v>215</v>
      </c>
      <c r="I34" s="557">
        <v>1000</v>
      </c>
      <c r="J34" s="558">
        <v>300</v>
      </c>
    </row>
    <row r="35" spans="1:10" s="556" customFormat="1" ht="15.75">
      <c r="A35" s="551">
        <v>5551</v>
      </c>
      <c r="B35" s="565" t="s">
        <v>458</v>
      </c>
      <c r="D35" s="557">
        <v>934</v>
      </c>
      <c r="E35" s="557">
        <v>0</v>
      </c>
      <c r="F35" s="557">
        <v>0</v>
      </c>
      <c r="G35" s="557">
        <f t="shared" si="5"/>
        <v>190</v>
      </c>
      <c r="H35" s="557">
        <f t="shared" si="6"/>
        <v>1124</v>
      </c>
      <c r="I35" s="557">
        <v>0</v>
      </c>
      <c r="J35" s="558">
        <v>50</v>
      </c>
    </row>
    <row r="36" spans="1:10" s="556" customFormat="1" ht="15.75">
      <c r="A36" s="551">
        <v>5560</v>
      </c>
      <c r="B36" s="566" t="s">
        <v>67</v>
      </c>
      <c r="D36" s="557">
        <v>900</v>
      </c>
      <c r="E36" s="557">
        <v>0</v>
      </c>
      <c r="F36" s="557">
        <v>-18.399999999999999</v>
      </c>
      <c r="G36" s="557">
        <f t="shared" si="5"/>
        <v>180</v>
      </c>
      <c r="H36" s="557">
        <f t="shared" si="6"/>
        <v>1061.5999999999999</v>
      </c>
      <c r="I36" s="557">
        <v>1200</v>
      </c>
      <c r="J36" s="558">
        <v>650</v>
      </c>
    </row>
    <row r="37" spans="1:10" s="556" customFormat="1" ht="15.75">
      <c r="A37" s="551">
        <v>5565</v>
      </c>
      <c r="B37" s="566" t="s">
        <v>43</v>
      </c>
      <c r="D37" s="557">
        <v>4900</v>
      </c>
      <c r="E37" s="557">
        <v>0</v>
      </c>
      <c r="F37" s="557">
        <v>0</v>
      </c>
      <c r="G37" s="557">
        <f t="shared" si="5"/>
        <v>980</v>
      </c>
      <c r="H37" s="557">
        <f t="shared" si="6"/>
        <v>5880</v>
      </c>
      <c r="I37" s="557">
        <v>6800</v>
      </c>
      <c r="J37" s="558">
        <v>5900</v>
      </c>
    </row>
    <row r="38" spans="1:10" ht="15.75">
      <c r="A38" s="114">
        <v>5570</v>
      </c>
      <c r="B38" s="177" t="s">
        <v>433</v>
      </c>
      <c r="D38" s="518">
        <v>200</v>
      </c>
      <c r="E38" s="518">
        <v>0</v>
      </c>
      <c r="F38" s="518">
        <v>0</v>
      </c>
      <c r="G38" s="518">
        <f t="shared" si="5"/>
        <v>40</v>
      </c>
      <c r="H38" s="518">
        <f t="shared" si="6"/>
        <v>240</v>
      </c>
      <c r="I38" s="518">
        <v>0</v>
      </c>
      <c r="J38" s="519">
        <v>250</v>
      </c>
    </row>
    <row r="39" spans="1:10" s="556" customFormat="1" ht="15.75">
      <c r="A39" s="551">
        <v>5616</v>
      </c>
      <c r="B39" s="566" t="s">
        <v>60</v>
      </c>
      <c r="D39" s="557">
        <v>159</v>
      </c>
      <c r="E39" s="557">
        <v>0</v>
      </c>
      <c r="F39" s="557">
        <v>-40.36</v>
      </c>
      <c r="G39" s="557">
        <f t="shared" si="5"/>
        <v>30</v>
      </c>
      <c r="H39" s="557">
        <f t="shared" si="6"/>
        <v>148.63999999999999</v>
      </c>
      <c r="I39" s="557">
        <v>1000</v>
      </c>
      <c r="J39" s="558">
        <f t="shared" ref="J38:J39" si="7">+ROUNDUP(H39*1.05,-2)</f>
        <v>200</v>
      </c>
    </row>
    <row r="40" spans="1:10" s="556" customFormat="1" ht="15.75">
      <c r="A40" s="551">
        <v>5626</v>
      </c>
      <c r="B40" s="566" t="s">
        <v>459</v>
      </c>
      <c r="D40" s="557">
        <v>665</v>
      </c>
      <c r="E40" s="557">
        <v>0</v>
      </c>
      <c r="F40" s="557">
        <v>0</v>
      </c>
      <c r="G40" s="557">
        <f t="shared" si="5"/>
        <v>140</v>
      </c>
      <c r="H40" s="557">
        <f t="shared" si="6"/>
        <v>805</v>
      </c>
      <c r="I40" s="557">
        <v>0</v>
      </c>
      <c r="J40" s="558">
        <v>670</v>
      </c>
    </row>
    <row r="41" spans="1:10" ht="16.5" thickBot="1">
      <c r="A41" s="114"/>
      <c r="B41" s="31" t="s">
        <v>57</v>
      </c>
      <c r="D41" s="516">
        <f>SUM(D32:D40)</f>
        <v>10043</v>
      </c>
      <c r="E41" s="516">
        <f t="shared" ref="E41:J41" si="8">SUM(E32:E40)</f>
        <v>0</v>
      </c>
      <c r="F41" s="516">
        <f t="shared" si="8"/>
        <v>-295.73</v>
      </c>
      <c r="G41" s="516">
        <f t="shared" si="8"/>
        <v>1990</v>
      </c>
      <c r="H41" s="516">
        <f t="shared" si="8"/>
        <v>11737.269999999999</v>
      </c>
      <c r="I41" s="516">
        <f t="shared" si="8"/>
        <v>13500</v>
      </c>
      <c r="J41" s="517">
        <f t="shared" si="8"/>
        <v>11620</v>
      </c>
    </row>
    <row r="42" spans="1:10" ht="15.75" thickTop="1">
      <c r="A42" s="114"/>
      <c r="F42" s="81"/>
      <c r="J42" s="81"/>
    </row>
    <row r="43" spans="1:10" ht="15">
      <c r="A43" s="114"/>
      <c r="B43" s="70" t="s">
        <v>10</v>
      </c>
      <c r="F43" s="81"/>
      <c r="J43" s="81"/>
    </row>
    <row r="44" spans="1:10" s="556" customFormat="1" ht="15.75">
      <c r="A44" s="551">
        <v>5401</v>
      </c>
      <c r="B44" s="567" t="s">
        <v>317</v>
      </c>
      <c r="D44" s="554">
        <v>5400</v>
      </c>
      <c r="E44" s="554">
        <v>0</v>
      </c>
      <c r="F44" s="554">
        <v>-2600</v>
      </c>
      <c r="G44" s="554">
        <f t="shared" ref="G44:G48" si="9">ROUNDUP(SUM(D44:F44)/10*2,-1)</f>
        <v>560</v>
      </c>
      <c r="H44" s="554">
        <f t="shared" ref="H44:H48" si="10">SUM(D44:G44)</f>
        <v>3360</v>
      </c>
      <c r="I44" s="554">
        <v>5500</v>
      </c>
      <c r="J44" s="555">
        <v>5500</v>
      </c>
    </row>
    <row r="45" spans="1:10" s="556" customFormat="1" ht="15.75">
      <c r="A45" s="551">
        <v>5405</v>
      </c>
      <c r="B45" s="567" t="s">
        <v>37</v>
      </c>
      <c r="D45" s="557">
        <v>6200</v>
      </c>
      <c r="E45" s="557">
        <v>0</v>
      </c>
      <c r="F45" s="557">
        <v>-244.6</v>
      </c>
      <c r="G45" s="557">
        <f t="shared" si="9"/>
        <v>1200</v>
      </c>
      <c r="H45" s="557">
        <f t="shared" si="10"/>
        <v>7155.4</v>
      </c>
      <c r="I45" s="557">
        <v>1500</v>
      </c>
      <c r="J45" s="558">
        <v>1500</v>
      </c>
    </row>
    <row r="46" spans="1:10" s="556" customFormat="1" ht="15.75">
      <c r="A46" s="551">
        <v>5420</v>
      </c>
      <c r="B46" s="567" t="s">
        <v>44</v>
      </c>
      <c r="D46" s="557">
        <v>500</v>
      </c>
      <c r="E46" s="557">
        <v>0</v>
      </c>
      <c r="F46" s="557">
        <v>0</v>
      </c>
      <c r="G46" s="557">
        <f t="shared" si="9"/>
        <v>100</v>
      </c>
      <c r="H46" s="557">
        <f t="shared" si="10"/>
        <v>600</v>
      </c>
      <c r="I46" s="557">
        <v>1500</v>
      </c>
      <c r="J46" s="558">
        <v>600</v>
      </c>
    </row>
    <row r="47" spans="1:10" s="556" customFormat="1" ht="15.75">
      <c r="A47" s="551">
        <v>5425</v>
      </c>
      <c r="B47" s="567" t="s">
        <v>58</v>
      </c>
      <c r="D47" s="557">
        <v>6824</v>
      </c>
      <c r="E47" s="557">
        <v>0</v>
      </c>
      <c r="F47" s="557">
        <v>-6423.68</v>
      </c>
      <c r="G47" s="557">
        <f t="shared" si="9"/>
        <v>90</v>
      </c>
      <c r="H47" s="557">
        <f t="shared" si="10"/>
        <v>490.31999999999971</v>
      </c>
      <c r="I47" s="557">
        <v>2000</v>
      </c>
      <c r="J47" s="558">
        <v>700</v>
      </c>
    </row>
    <row r="48" spans="1:10" s="556" customFormat="1" ht="15.75">
      <c r="A48" s="551">
        <v>5440</v>
      </c>
      <c r="B48" s="566" t="s">
        <v>355</v>
      </c>
      <c r="D48" s="557">
        <v>665</v>
      </c>
      <c r="E48" s="557">
        <v>0</v>
      </c>
      <c r="F48" s="557">
        <v>-454.5</v>
      </c>
      <c r="G48" s="557">
        <f t="shared" si="9"/>
        <v>50</v>
      </c>
      <c r="H48" s="557">
        <f t="shared" si="10"/>
        <v>260.5</v>
      </c>
      <c r="I48" s="557">
        <v>100</v>
      </c>
      <c r="J48" s="558">
        <v>120</v>
      </c>
    </row>
    <row r="49" spans="1:10" ht="16.5" thickBot="1">
      <c r="B49" s="8" t="s">
        <v>24</v>
      </c>
      <c r="D49" s="516">
        <f t="shared" ref="D49:J49" si="11">SUM(D44:D48)</f>
        <v>19589</v>
      </c>
      <c r="E49" s="516">
        <f t="shared" si="11"/>
        <v>0</v>
      </c>
      <c r="F49" s="516">
        <f t="shared" si="11"/>
        <v>-9722.7800000000007</v>
      </c>
      <c r="G49" s="516">
        <f t="shared" si="11"/>
        <v>2000</v>
      </c>
      <c r="H49" s="516">
        <f t="shared" si="11"/>
        <v>11866.22</v>
      </c>
      <c r="I49" s="516">
        <f t="shared" si="11"/>
        <v>10600</v>
      </c>
      <c r="J49" s="517">
        <f t="shared" si="11"/>
        <v>8420</v>
      </c>
    </row>
    <row r="50" spans="1:10" ht="15" thickTop="1"/>
    <row r="55" spans="1:10">
      <c r="A55" s="144"/>
      <c r="B55" s="123"/>
    </row>
    <row r="56" spans="1:10" ht="15">
      <c r="B56" s="604" t="s">
        <v>26</v>
      </c>
      <c r="C56" s="604"/>
      <c r="D56" s="604"/>
      <c r="E56" s="604"/>
      <c r="F56" s="604"/>
      <c r="G56" s="604"/>
      <c r="H56" s="604"/>
      <c r="I56" s="604"/>
      <c r="J56" s="604"/>
    </row>
  </sheetData>
  <sortState ref="A56:J60">
    <sortCondition ref="A56"/>
  </sortState>
  <mergeCells count="4">
    <mergeCell ref="B56:J56"/>
    <mergeCell ref="B1:J1"/>
    <mergeCell ref="B2:J2"/>
    <mergeCell ref="B3:J3"/>
  </mergeCells>
  <phoneticPr fontId="31" type="noConversion"/>
  <printOptions horizontalCentered="1"/>
  <pageMargins left="0" right="0" top="0" bottom="0" header="0" footer="0"/>
  <pageSetup scale="70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9"/>
  <sheetViews>
    <sheetView showOutlineSymbols="0" zoomScale="87" workbookViewId="0">
      <selection activeCell="J15" sqref="J15"/>
    </sheetView>
  </sheetViews>
  <sheetFormatPr defaultColWidth="11.44140625" defaultRowHeight="15"/>
  <cols>
    <col min="1" max="1" width="5.5546875" style="10" customWidth="1"/>
    <col min="2" max="2" width="17.109375" style="10" customWidth="1"/>
    <col min="3" max="3" width="3.44140625" style="10" customWidth="1"/>
    <col min="4" max="10" width="10.88671875" style="10" customWidth="1"/>
    <col min="11" max="16384" width="11.44140625" style="10"/>
  </cols>
  <sheetData>
    <row r="1" spans="1:10" ht="15.75">
      <c r="E1" s="96" t="str">
        <f>+'other Operating'!B1</f>
        <v>Sample Ave Condominium</v>
      </c>
      <c r="F1" s="32"/>
    </row>
    <row r="2" spans="1:10" ht="15.75">
      <c r="E2" s="96" t="str">
        <f>+'other Operating'!B2</f>
        <v>Other Operating Expenses</v>
      </c>
      <c r="F2" s="32"/>
    </row>
    <row r="3" spans="1:10" ht="15.75">
      <c r="E3" s="96" t="str">
        <f>+'other Operating'!B3</f>
        <v>For Year Ending 12/31/15</v>
      </c>
      <c r="F3" s="32"/>
    </row>
    <row r="4" spans="1:10">
      <c r="D4" s="10" t="s">
        <v>18</v>
      </c>
    </row>
    <row r="7" spans="1:10" ht="15.75">
      <c r="D7" s="355">
        <f>+yrlycomp!F6</f>
        <v>2014</v>
      </c>
      <c r="E7" s="346"/>
      <c r="F7" s="346"/>
      <c r="G7" s="355">
        <f>+$D$7</f>
        <v>2014</v>
      </c>
      <c r="H7" s="355">
        <f>+$D$7</f>
        <v>2014</v>
      </c>
      <c r="I7" s="355">
        <f>+$D$7</f>
        <v>2014</v>
      </c>
      <c r="J7" s="356">
        <f>+I7+1</f>
        <v>2015</v>
      </c>
    </row>
    <row r="8" spans="1:10" ht="15.75">
      <c r="D8" s="346" t="s">
        <v>421</v>
      </c>
      <c r="E8" s="299" t="s">
        <v>42</v>
      </c>
      <c r="F8" s="299" t="s">
        <v>68</v>
      </c>
      <c r="G8" s="346" t="s">
        <v>443</v>
      </c>
      <c r="H8" s="346" t="s">
        <v>40</v>
      </c>
      <c r="I8" s="346" t="s">
        <v>2</v>
      </c>
      <c r="J8" s="347" t="s">
        <v>2</v>
      </c>
    </row>
    <row r="9" spans="1:10" ht="15.75">
      <c r="D9" s="300" t="s">
        <v>27</v>
      </c>
      <c r="E9" s="301" t="str">
        <f>+'other Operating'!E8</f>
        <v>@ 10/31/14</v>
      </c>
      <c r="F9" s="302" t="s">
        <v>69</v>
      </c>
      <c r="G9" s="300" t="s">
        <v>361</v>
      </c>
      <c r="H9" s="300" t="s">
        <v>41</v>
      </c>
      <c r="I9" s="300"/>
      <c r="J9" s="303"/>
    </row>
    <row r="10" spans="1:10" ht="15.75">
      <c r="A10" s="115" t="s">
        <v>80</v>
      </c>
      <c r="J10" s="32"/>
    </row>
    <row r="11" spans="1:10" ht="15.75">
      <c r="A11" s="116">
        <v>5505</v>
      </c>
      <c r="B11" s="92" t="s">
        <v>8</v>
      </c>
      <c r="C11" s="95" t="s">
        <v>48</v>
      </c>
      <c r="D11" s="514">
        <f>+yrlycomp!F21</f>
        <v>5014</v>
      </c>
      <c r="E11" s="514">
        <v>0</v>
      </c>
      <c r="F11" s="514">
        <v>0</v>
      </c>
      <c r="G11" s="514">
        <f>+H11-D11</f>
        <v>7780</v>
      </c>
      <c r="H11" s="514">
        <v>12794</v>
      </c>
      <c r="I11" s="514">
        <v>13375</v>
      </c>
      <c r="J11" s="515">
        <v>12235.34</v>
      </c>
    </row>
    <row r="12" spans="1:10" ht="15.75">
      <c r="A12" s="115"/>
      <c r="D12" s="94"/>
      <c r="E12" s="94"/>
      <c r="F12" s="94"/>
      <c r="G12" s="94"/>
      <c r="H12" s="94"/>
      <c r="I12" s="94"/>
      <c r="J12" s="127"/>
    </row>
    <row r="13" spans="1:10" ht="15.75">
      <c r="A13" s="115">
        <v>5435</v>
      </c>
      <c r="B13" s="32" t="s">
        <v>74</v>
      </c>
      <c r="C13" s="95" t="s">
        <v>39</v>
      </c>
      <c r="D13" s="514">
        <f>+yrlycomp!F22</f>
        <v>20000</v>
      </c>
      <c r="E13" s="514">
        <v>0</v>
      </c>
      <c r="F13" s="514">
        <v>0</v>
      </c>
      <c r="G13" s="514">
        <f>2000*2</f>
        <v>4000</v>
      </c>
      <c r="H13" s="514">
        <f>SUM(D13:G13)</f>
        <v>24000</v>
      </c>
      <c r="I13" s="514">
        <v>24000</v>
      </c>
      <c r="J13" s="515">
        <f>H13*H22+H13</f>
        <v>24000</v>
      </c>
    </row>
    <row r="14" spans="1:10" ht="15.75">
      <c r="A14" s="115"/>
      <c r="D14" s="94"/>
      <c r="E14" s="94"/>
      <c r="F14" s="94"/>
      <c r="G14" s="94"/>
      <c r="H14" s="94"/>
      <c r="I14" s="94"/>
      <c r="J14" s="127"/>
    </row>
    <row r="15" spans="1:10" ht="15.75">
      <c r="A15" s="115">
        <v>5320</v>
      </c>
      <c r="B15" s="33" t="s">
        <v>33</v>
      </c>
      <c r="D15" s="514">
        <f>+yrlycomp!F23</f>
        <v>563</v>
      </c>
      <c r="E15" s="514">
        <v>0</v>
      </c>
      <c r="F15" s="514">
        <v>0</v>
      </c>
      <c r="G15" s="514">
        <v>0</v>
      </c>
      <c r="H15" s="514">
        <f>SUM(D15:G15)</f>
        <v>563</v>
      </c>
      <c r="I15" s="514">
        <v>450</v>
      </c>
      <c r="J15" s="515">
        <v>600</v>
      </c>
    </row>
    <row r="16" spans="1:10" ht="15.75">
      <c r="A16" s="115"/>
      <c r="B16" s="33"/>
    </row>
    <row r="20" spans="2:8">
      <c r="B20" s="93" t="s">
        <v>76</v>
      </c>
      <c r="C20" s="93"/>
      <c r="H20" s="79">
        <v>0.1</v>
      </c>
    </row>
    <row r="22" spans="2:8">
      <c r="B22" s="93" t="s">
        <v>75</v>
      </c>
      <c r="C22" s="93"/>
      <c r="D22" s="9"/>
      <c r="E22" s="9"/>
      <c r="F22" s="9"/>
      <c r="G22" s="9"/>
      <c r="H22" s="79">
        <v>0</v>
      </c>
    </row>
    <row r="29" spans="2:8">
      <c r="E29" s="608" t="s">
        <v>425</v>
      </c>
      <c r="F29" s="608"/>
    </row>
  </sheetData>
  <mergeCells count="1">
    <mergeCell ref="E29:F29"/>
  </mergeCells>
  <phoneticPr fontId="31" type="noConversion"/>
  <printOptions horizontalCentered="1"/>
  <pageMargins left="0" right="0" top="0" bottom="0" header="0" footer="0"/>
  <pageSetup scale="80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4"/>
  <sheetViews>
    <sheetView workbookViewId="0">
      <selection activeCell="B12" sqref="B12"/>
    </sheetView>
  </sheetViews>
  <sheetFormatPr defaultRowHeight="15"/>
  <cols>
    <col min="1" max="1" width="8.88671875" style="193" customWidth="1"/>
    <col min="2" max="2" width="11.77734375" style="193" customWidth="1"/>
    <col min="3" max="3" width="2.77734375" style="193" customWidth="1"/>
    <col min="4" max="4" width="12.21875" style="193" customWidth="1"/>
    <col min="5" max="5" width="8.88671875" style="193"/>
    <col min="6" max="6" width="0" style="193" hidden="1" customWidth="1"/>
    <col min="7" max="7" width="10.88671875" style="193" customWidth="1"/>
    <col min="8" max="8" width="8.88671875" style="193"/>
    <col min="9" max="9" width="11" style="193" customWidth="1"/>
    <col min="10" max="10" width="0" style="193" hidden="1" customWidth="1"/>
    <col min="11" max="16384" width="8.88671875" style="193"/>
  </cols>
  <sheetData>
    <row r="1" spans="1:14" ht="15.75">
      <c r="D1" s="180" t="str">
        <f>+COV!C23</f>
        <v>Sample Ave Condominium</v>
      </c>
    </row>
    <row r="2" spans="1:14" ht="15.75">
      <c r="A2" s="181"/>
      <c r="D2" s="181" t="s">
        <v>11</v>
      </c>
    </row>
    <row r="3" spans="1:14" ht="15.75">
      <c r="D3" s="182" t="str">
        <f>budget!A3</f>
        <v>For Year Ending 12/31/15</v>
      </c>
    </row>
    <row r="7" spans="1:14" ht="15.75">
      <c r="A7" s="364"/>
      <c r="B7" s="364"/>
      <c r="C7" s="364"/>
      <c r="D7" s="364"/>
      <c r="E7" s="364"/>
      <c r="F7" s="364"/>
      <c r="G7" s="365">
        <f>+yrlycomp!F6</f>
        <v>2014</v>
      </c>
      <c r="H7" s="366"/>
      <c r="I7" s="365">
        <f>+G7+1</f>
        <v>2015</v>
      </c>
    </row>
    <row r="8" spans="1:14" ht="15.75">
      <c r="A8" s="367" t="s">
        <v>366</v>
      </c>
      <c r="B8" s="364"/>
      <c r="C8" s="364"/>
      <c r="D8" s="183" t="s">
        <v>367</v>
      </c>
      <c r="E8" s="364"/>
      <c r="F8" s="364"/>
      <c r="G8" s="368" t="s">
        <v>368</v>
      </c>
      <c r="H8" s="366"/>
      <c r="I8" s="368" t="s">
        <v>2</v>
      </c>
    </row>
    <row r="10" spans="1:14" ht="15.75">
      <c r="A10" s="184" t="s">
        <v>520</v>
      </c>
      <c r="B10" s="364"/>
      <c r="C10" s="364"/>
      <c r="D10" s="364"/>
      <c r="E10" s="364"/>
      <c r="F10" s="364"/>
      <c r="G10" s="369"/>
      <c r="H10" s="364"/>
      <c r="I10" s="364"/>
      <c r="N10" s="185"/>
    </row>
    <row r="11" spans="1:14" ht="15.75">
      <c r="A11" s="370" t="s">
        <v>369</v>
      </c>
      <c r="B11" s="186" t="s">
        <v>521</v>
      </c>
      <c r="C11" s="186"/>
      <c r="D11" s="364"/>
      <c r="F11" s="371"/>
      <c r="G11" s="369"/>
      <c r="H11" s="369"/>
      <c r="I11" s="369"/>
      <c r="N11" s="185"/>
    </row>
    <row r="12" spans="1:14" ht="15.75">
      <c r="A12" s="372" t="s">
        <v>370</v>
      </c>
      <c r="B12" s="373" t="s">
        <v>371</v>
      </c>
      <c r="C12" s="373"/>
      <c r="D12" s="373" t="s">
        <v>372</v>
      </c>
      <c r="E12" s="374" t="s">
        <v>373</v>
      </c>
      <c r="F12" s="364"/>
      <c r="G12" s="364"/>
      <c r="H12" s="364"/>
      <c r="I12" s="364"/>
      <c r="N12" s="185"/>
    </row>
    <row r="13" spans="1:14">
      <c r="A13" s="372"/>
      <c r="B13" s="375"/>
      <c r="C13" s="375"/>
      <c r="D13" s="375"/>
      <c r="E13" s="375"/>
      <c r="F13" s="364"/>
      <c r="G13" s="364"/>
      <c r="H13" s="364"/>
      <c r="I13" s="364"/>
    </row>
    <row r="14" spans="1:14" ht="15.75">
      <c r="A14" s="376">
        <v>41633</v>
      </c>
      <c r="B14" s="376">
        <v>41723</v>
      </c>
      <c r="C14" s="376"/>
      <c r="D14" s="377">
        <v>1040</v>
      </c>
      <c r="E14" s="378">
        <f>B14-A14</f>
        <v>90</v>
      </c>
      <c r="F14" s="379"/>
      <c r="G14" s="369">
        <f>+D14/E14*(B14-M26)</f>
        <v>970.66666666666663</v>
      </c>
      <c r="H14" s="187" t="s">
        <v>16</v>
      </c>
      <c r="I14" s="369"/>
    </row>
    <row r="15" spans="1:14">
      <c r="A15" s="380">
        <f>+B14</f>
        <v>41723</v>
      </c>
      <c r="B15" s="376">
        <v>41815</v>
      </c>
      <c r="C15" s="376"/>
      <c r="D15" s="377">
        <v>1170</v>
      </c>
      <c r="E15" s="378">
        <f t="shared" ref="E15:E16" si="0">B15-A15</f>
        <v>92</v>
      </c>
      <c r="F15" s="381">
        <v>361.31076923076921</v>
      </c>
      <c r="G15" s="369">
        <f>+D15</f>
        <v>1170</v>
      </c>
      <c r="H15" s="369"/>
      <c r="I15" s="369"/>
    </row>
    <row r="16" spans="1:14">
      <c r="A16" s="376">
        <f>+B15</f>
        <v>41815</v>
      </c>
      <c r="B16" s="376">
        <v>41906</v>
      </c>
      <c r="C16" s="376"/>
      <c r="D16" s="377">
        <v>1050</v>
      </c>
      <c r="E16" s="378">
        <f t="shared" si="0"/>
        <v>91</v>
      </c>
      <c r="F16" s="381">
        <v>344.64384615384614</v>
      </c>
      <c r="G16" s="369">
        <f t="shared" ref="G16" si="1">+D16</f>
        <v>1050</v>
      </c>
      <c r="H16" s="369"/>
      <c r="I16" s="369"/>
    </row>
    <row r="17" spans="1:13">
      <c r="A17" s="376"/>
      <c r="B17" s="376"/>
      <c r="C17" s="376"/>
      <c r="D17" s="377"/>
      <c r="E17" s="378"/>
      <c r="F17" s="381"/>
      <c r="G17" s="369"/>
      <c r="H17" s="369"/>
      <c r="I17" s="369"/>
    </row>
    <row r="18" spans="1:13">
      <c r="A18" s="376"/>
      <c r="B18" s="379">
        <f>+G7</f>
        <v>2014</v>
      </c>
      <c r="C18" s="379"/>
      <c r="D18" s="377" t="s">
        <v>374</v>
      </c>
      <c r="E18" s="378">
        <f>365-C25-SUM(E15:E16)</f>
        <v>98</v>
      </c>
      <c r="F18" s="381">
        <v>329.39097122302161</v>
      </c>
      <c r="G18" s="369">
        <f>(SUM(G14:G16)/(SUM(E15:E16)+C25))*E18</f>
        <v>1171.1061173533083</v>
      </c>
      <c r="H18" s="369"/>
      <c r="I18" s="382"/>
    </row>
    <row r="19" spans="1:13">
      <c r="A19" s="376"/>
      <c r="B19" s="383">
        <f>+I7</f>
        <v>2015</v>
      </c>
      <c r="C19" s="383"/>
      <c r="D19" s="384" t="s">
        <v>375</v>
      </c>
      <c r="E19" s="385"/>
      <c r="F19" s="385"/>
      <c r="G19" s="386"/>
      <c r="H19" s="386"/>
      <c r="I19" s="387">
        <f>+G21*(1+A24)</f>
        <v>4536.2436953807737</v>
      </c>
    </row>
    <row r="20" spans="1:13">
      <c r="A20" s="376"/>
      <c r="B20" s="388"/>
      <c r="C20" s="388"/>
      <c r="D20" s="389"/>
      <c r="E20" s="364"/>
      <c r="F20" s="364"/>
      <c r="G20" s="390"/>
      <c r="H20" s="369"/>
      <c r="I20" s="390"/>
    </row>
    <row r="21" spans="1:13" ht="16.5" thickBot="1">
      <c r="A21" s="391"/>
      <c r="B21" s="366" t="s">
        <v>376</v>
      </c>
      <c r="C21" s="366"/>
      <c r="D21" s="364"/>
      <c r="E21" s="377"/>
      <c r="F21" s="364"/>
      <c r="G21" s="392">
        <f>SUM(G13:G19)</f>
        <v>4361.772784019975</v>
      </c>
      <c r="H21" s="393"/>
      <c r="I21" s="392">
        <f>SUM(I13:I19)</f>
        <v>4536.2436953807737</v>
      </c>
    </row>
    <row r="22" spans="1:13" ht="16.5" thickTop="1">
      <c r="A22" s="391"/>
      <c r="B22" s="366"/>
      <c r="C22" s="366"/>
      <c r="D22" s="364"/>
      <c r="E22" s="377"/>
      <c r="F22" s="364"/>
      <c r="G22" s="369"/>
      <c r="H22" s="393"/>
      <c r="I22" s="369"/>
    </row>
    <row r="23" spans="1:13" ht="15.75">
      <c r="A23" s="394"/>
      <c r="B23" s="366"/>
      <c r="C23" s="366"/>
      <c r="D23" s="364"/>
      <c r="E23" s="377"/>
      <c r="F23" s="364"/>
      <c r="G23" s="369"/>
      <c r="H23" s="393"/>
      <c r="I23" s="369"/>
    </row>
    <row r="24" spans="1:13">
      <c r="A24" s="395">
        <v>0.04</v>
      </c>
      <c r="B24" s="191" t="s">
        <v>377</v>
      </c>
      <c r="C24" s="191"/>
      <c r="D24" s="191"/>
      <c r="E24" s="396"/>
      <c r="F24" s="191"/>
      <c r="G24" s="192"/>
      <c r="H24" s="369"/>
      <c r="I24" s="369"/>
    </row>
    <row r="25" spans="1:13">
      <c r="A25" s="188"/>
      <c r="B25" s="189" t="s">
        <v>378</v>
      </c>
      <c r="C25" s="397">
        <f>B14-M26</f>
        <v>84</v>
      </c>
      <c r="D25" s="190" t="s">
        <v>464</v>
      </c>
      <c r="E25" s="398"/>
      <c r="F25" s="191"/>
      <c r="G25" s="192"/>
      <c r="H25" s="369"/>
      <c r="I25" s="369"/>
    </row>
    <row r="26" spans="1:13">
      <c r="M26" s="399">
        <v>41639</v>
      </c>
    </row>
    <row r="28" spans="1:13">
      <c r="E28" s="193" t="s">
        <v>379</v>
      </c>
    </row>
    <row r="34" spans="1:1">
      <c r="A34" s="376"/>
    </row>
  </sheetData>
  <printOptions horizontalCentered="1"/>
  <pageMargins left="0" right="0" top="0" bottom="0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4"/>
  <sheetViews>
    <sheetView workbookViewId="0">
      <selection activeCell="E13" sqref="E13"/>
    </sheetView>
  </sheetViews>
  <sheetFormatPr defaultRowHeight="15"/>
  <cols>
    <col min="1" max="1" width="21.88671875" style="1" bestFit="1" customWidth="1"/>
    <col min="2" max="2" width="6.21875" style="1" customWidth="1"/>
    <col min="3" max="8" width="11.77734375" style="1" customWidth="1"/>
    <col min="9" max="16384" width="8.88671875" style="1"/>
  </cols>
  <sheetData>
    <row r="1" spans="1:8" ht="15.75">
      <c r="D1" s="291" t="str">
        <f>COV!C23</f>
        <v>Sample Ave Condominium</v>
      </c>
      <c r="G1" s="27"/>
      <c r="H1" s="27"/>
    </row>
    <row r="2" spans="1:8" ht="15.75">
      <c r="A2" s="27"/>
      <c r="B2" s="27"/>
      <c r="D2" s="292" t="s">
        <v>417</v>
      </c>
      <c r="G2" s="27"/>
      <c r="H2" s="27"/>
    </row>
    <row r="3" spans="1:8" ht="15.75">
      <c r="A3" s="81"/>
      <c r="B3" s="81"/>
      <c r="D3" s="291" t="str">
        <f>COV!C25</f>
        <v>For Year Ending 12/31/15</v>
      </c>
      <c r="G3" s="27"/>
      <c r="H3" s="27"/>
    </row>
    <row r="4" spans="1:8" ht="15.75">
      <c r="A4" s="27"/>
      <c r="B4" s="27"/>
      <c r="C4" s="26"/>
      <c r="D4" s="26"/>
      <c r="E4" s="27"/>
      <c r="F4" s="27"/>
      <c r="G4" s="27"/>
      <c r="H4" s="27"/>
    </row>
    <row r="5" spans="1:8" ht="15.75">
      <c r="A5" s="27"/>
      <c r="B5" s="27"/>
      <c r="C5" s="26"/>
      <c r="D5" s="26"/>
      <c r="E5" s="27"/>
      <c r="F5" s="27"/>
      <c r="G5" s="27"/>
      <c r="H5" s="27"/>
    </row>
    <row r="6" spans="1:8" ht="15.75">
      <c r="A6" s="27"/>
      <c r="B6" s="27"/>
      <c r="C6" s="351">
        <f>+yrlycomp!F6</f>
        <v>2014</v>
      </c>
      <c r="D6" s="259"/>
      <c r="E6" s="351">
        <f>+$C$6</f>
        <v>2014</v>
      </c>
      <c r="F6" s="351">
        <f>+$C$6</f>
        <v>2014</v>
      </c>
      <c r="G6" s="351">
        <f>+$C$6</f>
        <v>2014</v>
      </c>
      <c r="H6" s="352">
        <f>+G6+1</f>
        <v>2015</v>
      </c>
    </row>
    <row r="7" spans="1:8" ht="15.75">
      <c r="A7" s="27"/>
      <c r="B7" s="27"/>
      <c r="C7" s="259" t="s">
        <v>421</v>
      </c>
      <c r="D7" s="59" t="s">
        <v>42</v>
      </c>
      <c r="E7" s="259" t="s">
        <v>323</v>
      </c>
      <c r="F7" s="259" t="s">
        <v>40</v>
      </c>
      <c r="G7" s="259" t="s">
        <v>2</v>
      </c>
      <c r="H7" s="114" t="s">
        <v>2</v>
      </c>
    </row>
    <row r="8" spans="1:8" ht="15.75">
      <c r="A8" s="293" t="s">
        <v>418</v>
      </c>
      <c r="B8" s="354" t="s">
        <v>460</v>
      </c>
      <c r="C8" s="28" t="s">
        <v>27</v>
      </c>
      <c r="D8" s="60" t="s">
        <v>456</v>
      </c>
      <c r="E8" s="28" t="s">
        <v>419</v>
      </c>
      <c r="F8" s="28" t="s">
        <v>41</v>
      </c>
      <c r="G8" s="28"/>
      <c r="H8" s="125"/>
    </row>
    <row r="9" spans="1:8" ht="15.75">
      <c r="A9" s="27"/>
      <c r="B9" s="259"/>
      <c r="C9" s="294"/>
      <c r="D9" s="294"/>
      <c r="E9" s="294"/>
      <c r="F9" s="294"/>
      <c r="G9" s="294"/>
      <c r="H9" s="126"/>
    </row>
    <row r="10" spans="1:8" ht="15.75">
      <c r="A10" s="27" t="s">
        <v>422</v>
      </c>
      <c r="B10" s="259">
        <v>7035</v>
      </c>
      <c r="C10" s="521">
        <v>20000</v>
      </c>
      <c r="D10" s="521">
        <v>7500</v>
      </c>
      <c r="E10" s="522">
        <v>0</v>
      </c>
      <c r="F10" s="522">
        <f>SUM(C10:E10)</f>
        <v>27500</v>
      </c>
      <c r="G10" s="522">
        <v>0</v>
      </c>
      <c r="H10" s="523">
        <v>0</v>
      </c>
    </row>
    <row r="11" spans="1:8" ht="15.75">
      <c r="A11" s="27" t="s">
        <v>420</v>
      </c>
      <c r="B11" s="259">
        <v>7055</v>
      </c>
      <c r="C11" s="520">
        <v>25000</v>
      </c>
      <c r="D11" s="520">
        <v>400</v>
      </c>
      <c r="E11" s="526">
        <v>0</v>
      </c>
      <c r="F11" s="526">
        <f t="shared" ref="F11:F14" si="0">SUM(C11:E11)</f>
        <v>25400</v>
      </c>
      <c r="G11" s="526">
        <v>0</v>
      </c>
      <c r="H11" s="527">
        <v>0</v>
      </c>
    </row>
    <row r="12" spans="1:8" ht="15.75">
      <c r="A12" s="27" t="s">
        <v>461</v>
      </c>
      <c r="B12" s="259">
        <v>7070</v>
      </c>
      <c r="C12" s="520">
        <v>1000</v>
      </c>
      <c r="D12" s="520">
        <v>0</v>
      </c>
      <c r="E12" s="526">
        <v>0</v>
      </c>
      <c r="F12" s="526">
        <f t="shared" si="0"/>
        <v>1000</v>
      </c>
      <c r="G12" s="526">
        <v>0</v>
      </c>
      <c r="H12" s="527">
        <v>0</v>
      </c>
    </row>
    <row r="13" spans="1:8" ht="15.75">
      <c r="A13" s="27" t="s">
        <v>522</v>
      </c>
      <c r="B13" s="259">
        <v>7071</v>
      </c>
      <c r="C13" s="520">
        <v>1500</v>
      </c>
      <c r="D13" s="520">
        <v>0</v>
      </c>
      <c r="E13" s="526">
        <v>0</v>
      </c>
      <c r="F13" s="526">
        <f t="shared" ref="F13" si="1">SUM(C13:E13)</f>
        <v>1500</v>
      </c>
      <c r="G13" s="526">
        <v>0</v>
      </c>
      <c r="H13" s="527">
        <v>0</v>
      </c>
    </row>
    <row r="14" spans="1:8" ht="15.75">
      <c r="A14" s="27" t="s">
        <v>462</v>
      </c>
      <c r="B14" s="259">
        <v>7105</v>
      </c>
      <c r="C14" s="520">
        <v>15500</v>
      </c>
      <c r="D14" s="520">
        <v>0</v>
      </c>
      <c r="E14" s="526">
        <v>0</v>
      </c>
      <c r="F14" s="520">
        <f t="shared" si="0"/>
        <v>15500</v>
      </c>
      <c r="G14" s="526">
        <v>0</v>
      </c>
      <c r="H14" s="527">
        <v>0</v>
      </c>
    </row>
    <row r="15" spans="1:8" ht="16.5" thickBot="1">
      <c r="A15" s="295" t="s">
        <v>428</v>
      </c>
      <c r="B15" s="295"/>
      <c r="C15" s="524">
        <f>+SUM(C9:C14)</f>
        <v>63000</v>
      </c>
      <c r="D15" s="524">
        <f t="shared" ref="D15:H15" si="2">+SUM(D9:D11)</f>
        <v>7900</v>
      </c>
      <c r="E15" s="524">
        <f t="shared" si="2"/>
        <v>0</v>
      </c>
      <c r="F15" s="524">
        <f>+SUM(F9:F14)</f>
        <v>70900</v>
      </c>
      <c r="G15" s="524">
        <f t="shared" si="2"/>
        <v>0</v>
      </c>
      <c r="H15" s="525">
        <f t="shared" si="2"/>
        <v>0</v>
      </c>
    </row>
    <row r="16" spans="1:8" ht="16.5" thickTop="1">
      <c r="A16" s="295"/>
      <c r="B16" s="295"/>
      <c r="C16" s="179"/>
      <c r="D16" s="179"/>
      <c r="E16" s="179"/>
      <c r="F16" s="179"/>
      <c r="G16" s="179"/>
      <c r="H16" s="13"/>
    </row>
    <row r="17" spans="1:8">
      <c r="A17" s="295"/>
      <c r="B17" s="295"/>
      <c r="C17" s="179"/>
      <c r="D17" s="179"/>
      <c r="E17" s="179"/>
      <c r="F17" s="179"/>
      <c r="G17" s="179"/>
      <c r="H17" s="179"/>
    </row>
    <row r="18" spans="1:8">
      <c r="A18" s="295"/>
      <c r="B18" s="295"/>
      <c r="C18" s="179"/>
      <c r="D18" s="179"/>
      <c r="E18" s="179"/>
      <c r="F18" s="179"/>
      <c r="G18" s="179"/>
      <c r="H18" s="179"/>
    </row>
    <row r="19" spans="1:8">
      <c r="A19" s="133"/>
      <c r="B19" s="133"/>
      <c r="C19" s="296"/>
      <c r="D19" s="179"/>
      <c r="E19" s="179"/>
      <c r="F19" s="179"/>
      <c r="G19" s="179"/>
      <c r="H19" s="179"/>
    </row>
    <row r="20" spans="1:8" ht="15.75">
      <c r="A20" s="13"/>
      <c r="B20" s="13"/>
      <c r="C20" s="13"/>
      <c r="D20" s="13"/>
      <c r="E20" s="13"/>
      <c r="F20" s="13"/>
      <c r="G20" s="179"/>
      <c r="H20" s="179"/>
    </row>
    <row r="21" spans="1:8">
      <c r="A21" s="179"/>
      <c r="B21" s="179"/>
      <c r="C21" s="179"/>
      <c r="D21" s="179"/>
      <c r="E21" s="179"/>
      <c r="F21" s="179"/>
      <c r="G21" s="179"/>
      <c r="H21" s="179"/>
    </row>
    <row r="22" spans="1:8">
      <c r="A22" s="179"/>
      <c r="B22" s="179"/>
      <c r="C22" s="179"/>
      <c r="D22" s="179"/>
      <c r="E22" s="179"/>
      <c r="F22" s="179"/>
      <c r="G22" s="179"/>
      <c r="H22" s="179"/>
    </row>
    <row r="23" spans="1:8">
      <c r="A23" s="296"/>
      <c r="B23" s="296"/>
      <c r="C23" s="179"/>
      <c r="D23" s="179"/>
      <c r="E23" s="179"/>
      <c r="F23" s="297"/>
      <c r="G23" s="179"/>
      <c r="H23" s="179"/>
    </row>
    <row r="24" spans="1:8">
      <c r="A24" s="179"/>
      <c r="B24" s="179"/>
      <c r="C24" s="179"/>
      <c r="E24" s="298" t="s">
        <v>426</v>
      </c>
      <c r="F24" s="179"/>
      <c r="G24" s="179"/>
      <c r="H24" s="179"/>
    </row>
  </sheetData>
  <printOptions horizontalCentered="1"/>
  <pageMargins left="0" right="0" top="0" bottom="0" header="0.5" footer="0.5"/>
  <pageSetup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I7" sqref="I7"/>
    </sheetView>
  </sheetViews>
  <sheetFormatPr defaultRowHeight="15"/>
  <cols>
    <col min="1" max="1" width="8.109375" style="1" customWidth="1"/>
    <col min="2" max="4" width="8.88671875" style="1"/>
    <col min="5" max="5" width="17.33203125" style="1" customWidth="1"/>
    <col min="6" max="6" width="8.88671875" style="1"/>
    <col min="7" max="7" width="9.88671875" style="1" customWidth="1"/>
    <col min="8" max="16384" width="8.88671875" style="1"/>
  </cols>
  <sheetData>
    <row r="1" spans="1:8" ht="62.25" customHeight="1" thickBot="1">
      <c r="A1" s="36"/>
      <c r="B1" s="36"/>
      <c r="C1" s="36"/>
      <c r="D1" s="36"/>
      <c r="E1" s="36"/>
      <c r="F1" s="36"/>
      <c r="G1" s="36"/>
      <c r="H1" s="36"/>
    </row>
    <row r="2" spans="1:8">
      <c r="A2" s="68" t="s">
        <v>53</v>
      </c>
      <c r="B2" s="37"/>
      <c r="C2" s="38"/>
      <c r="D2" s="38"/>
      <c r="E2" s="38"/>
      <c r="F2" s="38"/>
      <c r="G2" s="38"/>
      <c r="H2" s="39"/>
    </row>
    <row r="3" spans="1:8">
      <c r="A3" s="36"/>
      <c r="B3" s="40"/>
      <c r="C3" s="41"/>
      <c r="D3" s="42"/>
      <c r="E3" s="42"/>
      <c r="F3" s="42"/>
      <c r="G3" s="43"/>
      <c r="H3" s="44"/>
    </row>
    <row r="4" spans="1:8">
      <c r="A4" s="36"/>
      <c r="B4" s="40"/>
      <c r="C4" s="45"/>
      <c r="D4" s="46"/>
      <c r="E4" s="46"/>
      <c r="F4" s="46"/>
      <c r="G4" s="47"/>
      <c r="H4" s="44"/>
    </row>
    <row r="5" spans="1:8">
      <c r="A5" s="36"/>
      <c r="B5" s="40"/>
      <c r="C5" s="45"/>
      <c r="D5" s="46"/>
      <c r="E5" s="46"/>
      <c r="F5" s="46"/>
      <c r="G5" s="47"/>
      <c r="H5" s="44"/>
    </row>
    <row r="6" spans="1:8">
      <c r="A6" s="36"/>
      <c r="B6" s="40"/>
      <c r="C6" s="45"/>
      <c r="D6" s="46"/>
      <c r="E6" s="46"/>
      <c r="F6" s="46"/>
      <c r="G6" s="47"/>
      <c r="H6" s="44"/>
    </row>
    <row r="7" spans="1:8" ht="27">
      <c r="A7" s="36"/>
      <c r="B7" s="40"/>
      <c r="C7" s="573"/>
      <c r="D7" s="574"/>
      <c r="E7" s="574"/>
      <c r="F7" s="574"/>
      <c r="G7" s="575"/>
      <c r="H7" s="44"/>
    </row>
    <row r="8" spans="1:8" ht="18">
      <c r="A8" s="36"/>
      <c r="B8" s="40"/>
      <c r="C8" s="576"/>
      <c r="D8" s="577"/>
      <c r="E8" s="577"/>
      <c r="F8" s="577"/>
      <c r="G8" s="578"/>
      <c r="H8" s="44"/>
    </row>
    <row r="9" spans="1:8">
      <c r="A9" s="36"/>
      <c r="B9" s="40"/>
      <c r="C9" s="45"/>
      <c r="D9" s="46"/>
      <c r="E9" s="46"/>
      <c r="F9" s="46"/>
      <c r="G9" s="47"/>
      <c r="H9" s="44"/>
    </row>
    <row r="10" spans="1:8">
      <c r="A10" s="36"/>
      <c r="B10" s="40"/>
      <c r="C10" s="45"/>
      <c r="D10" s="46"/>
      <c r="E10" s="46"/>
      <c r="F10" s="46"/>
      <c r="G10" s="47"/>
      <c r="H10" s="44"/>
    </row>
    <row r="11" spans="1:8">
      <c r="A11" s="36"/>
      <c r="B11" s="40"/>
      <c r="C11" s="45"/>
      <c r="D11" s="46"/>
      <c r="E11" s="46"/>
      <c r="F11" s="46"/>
      <c r="G11" s="47"/>
      <c r="H11" s="44"/>
    </row>
    <row r="12" spans="1:8">
      <c r="A12" s="36"/>
      <c r="B12" s="40"/>
      <c r="C12" s="45"/>
      <c r="D12" s="46"/>
      <c r="E12" s="46"/>
      <c r="F12" s="46"/>
      <c r="G12" s="47"/>
      <c r="H12" s="44"/>
    </row>
    <row r="13" spans="1:8">
      <c r="A13" s="36"/>
      <c r="B13" s="40"/>
      <c r="C13" s="45"/>
      <c r="D13" s="46"/>
      <c r="E13" s="46"/>
      <c r="F13" s="46"/>
      <c r="G13" s="47"/>
      <c r="H13" s="44"/>
    </row>
    <row r="14" spans="1:8">
      <c r="A14" s="36"/>
      <c r="B14" s="40"/>
      <c r="C14" s="45"/>
      <c r="D14" s="46"/>
      <c r="E14" s="46"/>
      <c r="F14" s="46"/>
      <c r="G14" s="47"/>
      <c r="H14" s="44"/>
    </row>
    <row r="15" spans="1:8">
      <c r="A15" s="36"/>
      <c r="B15" s="40"/>
      <c r="C15" s="48"/>
      <c r="D15" s="49"/>
      <c r="E15" s="49"/>
      <c r="F15" s="49"/>
      <c r="G15" s="50"/>
      <c r="H15" s="44"/>
    </row>
    <row r="16" spans="1:8">
      <c r="A16" s="36"/>
      <c r="B16" s="40"/>
      <c r="C16" s="46"/>
      <c r="D16" s="46"/>
      <c r="E16" s="46"/>
      <c r="F16" s="46"/>
      <c r="G16" s="46"/>
      <c r="H16" s="44"/>
    </row>
    <row r="17" spans="1:8">
      <c r="A17" s="36"/>
      <c r="B17" s="40"/>
      <c r="C17" s="41"/>
      <c r="D17" s="42"/>
      <c r="E17" s="42"/>
      <c r="F17" s="42"/>
      <c r="G17" s="43"/>
      <c r="H17" s="44"/>
    </row>
    <row r="18" spans="1:8">
      <c r="A18" s="36"/>
      <c r="B18" s="40"/>
      <c r="C18" s="45"/>
      <c r="D18" s="46"/>
      <c r="E18" s="46"/>
      <c r="F18" s="46"/>
      <c r="G18" s="47"/>
      <c r="H18" s="44"/>
    </row>
    <row r="19" spans="1:8">
      <c r="A19" s="36"/>
      <c r="B19" s="40"/>
      <c r="C19" s="45"/>
      <c r="D19" s="46"/>
      <c r="E19" s="46"/>
      <c r="F19" s="46"/>
      <c r="G19" s="47"/>
      <c r="H19" s="44"/>
    </row>
    <row r="20" spans="1:8">
      <c r="A20" s="36"/>
      <c r="B20" s="40"/>
      <c r="C20" s="45"/>
      <c r="D20" s="46"/>
      <c r="E20" s="46"/>
      <c r="F20" s="46"/>
      <c r="G20" s="47"/>
      <c r="H20" s="44"/>
    </row>
    <row r="21" spans="1:8">
      <c r="A21" s="36"/>
      <c r="B21" s="40"/>
      <c r="C21" s="45"/>
      <c r="D21" s="46"/>
      <c r="E21" s="46"/>
      <c r="F21" s="46"/>
      <c r="G21" s="47"/>
      <c r="H21" s="44"/>
    </row>
    <row r="22" spans="1:8">
      <c r="A22" s="36"/>
      <c r="B22" s="40"/>
      <c r="C22" s="45"/>
      <c r="D22" s="46"/>
      <c r="E22" s="46"/>
      <c r="F22" s="46"/>
      <c r="G22" s="47"/>
      <c r="H22" s="44"/>
    </row>
    <row r="23" spans="1:8" ht="26.25">
      <c r="A23" s="36"/>
      <c r="B23" s="40"/>
      <c r="C23" s="568" t="s">
        <v>516</v>
      </c>
      <c r="D23" s="569"/>
      <c r="E23" s="569"/>
      <c r="F23" s="569"/>
      <c r="G23" s="570"/>
      <c r="H23" s="44"/>
    </row>
    <row r="24" spans="1:8" ht="26.25">
      <c r="A24" s="36"/>
      <c r="B24" s="40"/>
      <c r="C24" s="568" t="s">
        <v>17</v>
      </c>
      <c r="D24" s="569"/>
      <c r="E24" s="569"/>
      <c r="F24" s="569"/>
      <c r="G24" s="570"/>
      <c r="H24" s="44"/>
    </row>
    <row r="25" spans="1:8" ht="26.25">
      <c r="A25" s="36"/>
      <c r="B25" s="40"/>
      <c r="C25" s="568" t="s">
        <v>452</v>
      </c>
      <c r="D25" s="569"/>
      <c r="E25" s="569"/>
      <c r="F25" s="569"/>
      <c r="G25" s="570"/>
      <c r="H25" s="44"/>
    </row>
    <row r="26" spans="1:8" ht="15.75">
      <c r="A26" s="36"/>
      <c r="B26" s="40"/>
      <c r="C26" s="45"/>
      <c r="D26" s="46"/>
      <c r="E26" s="304" t="s">
        <v>358</v>
      </c>
      <c r="F26" s="349"/>
      <c r="G26" s="350"/>
      <c r="H26" s="44"/>
    </row>
    <row r="27" spans="1:8">
      <c r="A27" s="36"/>
      <c r="B27" s="40"/>
      <c r="C27" s="45"/>
      <c r="D27" s="46"/>
      <c r="E27" s="46"/>
      <c r="F27" s="46"/>
      <c r="G27" s="47"/>
      <c r="H27" s="44"/>
    </row>
    <row r="28" spans="1:8">
      <c r="A28" s="36"/>
      <c r="B28" s="40"/>
      <c r="C28" s="45"/>
      <c r="D28" s="46"/>
      <c r="E28" s="46"/>
      <c r="F28" s="46"/>
      <c r="G28" s="47"/>
      <c r="H28" s="44"/>
    </row>
    <row r="29" spans="1:8">
      <c r="A29" s="36"/>
      <c r="B29" s="40"/>
      <c r="C29" s="45"/>
      <c r="D29" s="46"/>
      <c r="E29" s="46"/>
      <c r="F29" s="46"/>
      <c r="G29" s="47"/>
      <c r="H29" s="44"/>
    </row>
    <row r="30" spans="1:8" ht="15.75">
      <c r="A30" s="36"/>
      <c r="B30" s="40"/>
      <c r="C30" s="45"/>
      <c r="D30" s="46"/>
      <c r="E30" s="304" t="s">
        <v>365</v>
      </c>
      <c r="F30" s="579"/>
      <c r="G30" s="580"/>
      <c r="H30" s="44"/>
    </row>
    <row r="31" spans="1:8" ht="15.75">
      <c r="A31" s="36"/>
      <c r="B31" s="40"/>
      <c r="C31" s="45"/>
      <c r="D31" s="46"/>
      <c r="E31" s="304" t="s">
        <v>427</v>
      </c>
      <c r="F31" s="579"/>
      <c r="G31" s="580"/>
      <c r="H31" s="51"/>
    </row>
    <row r="32" spans="1:8">
      <c r="A32" s="36"/>
      <c r="B32" s="40"/>
      <c r="C32" s="45"/>
      <c r="D32" s="46"/>
      <c r="E32" s="46"/>
      <c r="F32" s="581">
        <f ca="1">TODAY()</f>
        <v>42696</v>
      </c>
      <c r="G32" s="582"/>
      <c r="H32" s="51"/>
    </row>
    <row r="33" spans="1:8" ht="18">
      <c r="A33" s="36"/>
      <c r="B33" s="40"/>
      <c r="C33" s="45"/>
      <c r="D33" s="46"/>
      <c r="E33" s="46"/>
      <c r="F33" s="571"/>
      <c r="G33" s="572"/>
      <c r="H33" s="51"/>
    </row>
    <row r="34" spans="1:8" ht="15.75">
      <c r="A34" s="36"/>
      <c r="B34" s="40"/>
      <c r="C34" s="45"/>
      <c r="D34" s="46"/>
      <c r="E34" s="97"/>
      <c r="H34" s="51"/>
    </row>
    <row r="35" spans="1:8">
      <c r="A35" s="36"/>
      <c r="B35" s="40"/>
      <c r="C35" s="56"/>
      <c r="D35" s="46"/>
      <c r="E35" s="46"/>
      <c r="F35" s="46"/>
      <c r="G35" s="47"/>
      <c r="H35" s="44"/>
    </row>
    <row r="36" spans="1:8">
      <c r="A36" s="36"/>
      <c r="B36" s="40"/>
      <c r="C36" s="45"/>
      <c r="D36" s="46"/>
      <c r="E36" s="46"/>
      <c r="F36" s="46"/>
      <c r="G36" s="47"/>
      <c r="H36" s="44"/>
    </row>
    <row r="37" spans="1:8">
      <c r="A37" s="36"/>
      <c r="B37" s="40"/>
      <c r="C37" s="48"/>
      <c r="D37" s="49"/>
      <c r="E37" s="49"/>
      <c r="F37" s="49"/>
      <c r="G37" s="50"/>
      <c r="H37" s="44"/>
    </row>
    <row r="38" spans="1:8">
      <c r="A38" s="36"/>
      <c r="B38" s="40"/>
      <c r="C38" s="46"/>
      <c r="D38" s="46"/>
      <c r="E38" s="46"/>
      <c r="F38" s="46"/>
      <c r="G38" s="46"/>
      <c r="H38" s="44"/>
    </row>
    <row r="39" spans="1:8" ht="15.75" thickBot="1">
      <c r="A39" s="36"/>
      <c r="B39" s="52"/>
      <c r="C39" s="53"/>
      <c r="D39" s="53"/>
      <c r="E39" s="53"/>
      <c r="F39" s="53"/>
      <c r="G39" s="53"/>
      <c r="H39" s="54"/>
    </row>
  </sheetData>
  <mergeCells count="9">
    <mergeCell ref="C25:G25"/>
    <mergeCell ref="F33:G33"/>
    <mergeCell ref="C7:G7"/>
    <mergeCell ref="C8:G8"/>
    <mergeCell ref="C23:G23"/>
    <mergeCell ref="C24:G24"/>
    <mergeCell ref="F30:G30"/>
    <mergeCell ref="F31:G31"/>
    <mergeCell ref="F32:G32"/>
  </mergeCells>
  <phoneticPr fontId="31" type="noConversion"/>
  <printOptions horizontalCentered="1" verticalCentered="1"/>
  <pageMargins left="0" right="0" top="0" bottom="0" header="0" footer="0"/>
  <pageSetup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9"/>
  <sheetViews>
    <sheetView showOutlineSymbols="0" zoomScale="87" zoomScaleNormal="87" workbookViewId="0">
      <selection activeCell="E21" sqref="E21"/>
    </sheetView>
  </sheetViews>
  <sheetFormatPr defaultColWidth="11.44140625" defaultRowHeight="15"/>
  <cols>
    <col min="1" max="1" width="9.88671875" style="7" customWidth="1"/>
    <col min="2" max="2" width="11.44140625" style="7" customWidth="1"/>
    <col min="3" max="3" width="20.33203125" style="7" customWidth="1"/>
    <col min="4" max="5" width="11.44140625" style="7" customWidth="1"/>
    <col min="6" max="6" width="16.109375" style="7" customWidth="1"/>
    <col min="7" max="16384" width="11.44140625" style="7"/>
  </cols>
  <sheetData>
    <row r="1" spans="2:6" ht="16.5" thickTop="1">
      <c r="C1" s="583" t="str">
        <f>COV!C23</f>
        <v>Sample Ave Condominium</v>
      </c>
      <c r="D1" s="584"/>
      <c r="E1" s="585"/>
    </row>
    <row r="2" spans="2:6" ht="15.75">
      <c r="C2" s="586" t="s">
        <v>38</v>
      </c>
      <c r="D2" s="579"/>
      <c r="E2" s="587"/>
    </row>
    <row r="3" spans="2:6" ht="16.5" thickBot="1">
      <c r="C3" s="588" t="str">
        <f>COV!C25</f>
        <v>For Year Ending 12/31/15</v>
      </c>
      <c r="D3" s="589"/>
      <c r="E3" s="590"/>
    </row>
    <row r="4" spans="2:6" ht="15.75" thickTop="1">
      <c r="B4" s="62"/>
      <c r="C4" s="62"/>
      <c r="D4" s="62"/>
      <c r="E4" s="62"/>
    </row>
    <row r="6" spans="2:6" ht="15.75">
      <c r="B6" s="591" t="s">
        <v>34</v>
      </c>
      <c r="C6" s="591"/>
      <c r="D6" s="591"/>
      <c r="E6" s="591"/>
      <c r="F6" s="591"/>
    </row>
    <row r="7" spans="2:6" ht="15.75">
      <c r="B7" s="342"/>
      <c r="C7" s="342"/>
      <c r="D7" s="342"/>
    </row>
    <row r="8" spans="2:6" ht="15.75" thickBot="1">
      <c r="B8" s="62"/>
      <c r="C8" s="62"/>
      <c r="D8" s="62"/>
      <c r="E8" s="62"/>
      <c r="F8" s="62"/>
    </row>
    <row r="9" spans="2:6" ht="15.75" thickTop="1">
      <c r="B9" s="260"/>
      <c r="C9" s="261"/>
      <c r="D9" s="261"/>
      <c r="E9" s="261"/>
      <c r="F9" s="262" t="s">
        <v>18</v>
      </c>
    </row>
    <row r="10" spans="2:6" ht="15.75">
      <c r="B10" s="263" t="s">
        <v>35</v>
      </c>
      <c r="C10" s="264"/>
      <c r="D10" s="265"/>
      <c r="E10" s="264"/>
      <c r="F10" s="266" t="s">
        <v>36</v>
      </c>
    </row>
    <row r="11" spans="2:6">
      <c r="B11" s="267"/>
      <c r="C11" s="268"/>
      <c r="D11" s="268"/>
      <c r="E11" s="268"/>
      <c r="F11" s="269"/>
    </row>
    <row r="12" spans="2:6">
      <c r="B12" s="270" t="s">
        <v>453</v>
      </c>
      <c r="C12" s="271"/>
      <c r="D12" s="272"/>
      <c r="E12" s="271"/>
      <c r="F12" s="273">
        <v>1</v>
      </c>
    </row>
    <row r="13" spans="2:6">
      <c r="B13" s="270" t="s">
        <v>454</v>
      </c>
      <c r="C13" s="271"/>
      <c r="D13" s="272"/>
      <c r="E13" s="271"/>
      <c r="F13" s="273">
        <v>2</v>
      </c>
    </row>
    <row r="14" spans="2:6">
      <c r="B14" s="274"/>
      <c r="C14" s="275"/>
      <c r="D14" s="275"/>
      <c r="E14" s="275"/>
      <c r="F14" s="276"/>
    </row>
    <row r="15" spans="2:6" ht="15.75">
      <c r="B15" s="277" t="s">
        <v>410</v>
      </c>
      <c r="C15" s="271"/>
      <c r="D15" s="271"/>
      <c r="E15" s="271"/>
      <c r="F15" s="273"/>
    </row>
    <row r="16" spans="2:6">
      <c r="B16" s="270" t="s">
        <v>411</v>
      </c>
      <c r="C16" s="271"/>
      <c r="D16" s="272"/>
      <c r="E16" s="271"/>
      <c r="F16" s="273">
        <v>3</v>
      </c>
    </row>
    <row r="17" spans="2:6">
      <c r="B17" s="270" t="s">
        <v>55</v>
      </c>
      <c r="C17" s="271"/>
      <c r="D17" s="272"/>
      <c r="E17" s="271"/>
      <c r="F17" s="273">
        <v>3</v>
      </c>
    </row>
    <row r="18" spans="2:6">
      <c r="B18" s="270" t="s">
        <v>412</v>
      </c>
      <c r="C18" s="271"/>
      <c r="D18" s="272"/>
      <c r="E18" s="271"/>
      <c r="F18" s="273">
        <v>3</v>
      </c>
    </row>
    <row r="19" spans="2:6">
      <c r="B19" s="278" t="s">
        <v>455</v>
      </c>
      <c r="C19" s="271"/>
      <c r="D19" s="279"/>
      <c r="E19" s="271"/>
      <c r="F19" s="280"/>
    </row>
    <row r="20" spans="2:6">
      <c r="B20" s="270" t="s">
        <v>413</v>
      </c>
      <c r="C20" s="271"/>
      <c r="D20" s="272"/>
      <c r="E20" s="271"/>
      <c r="F20" s="273">
        <v>4</v>
      </c>
    </row>
    <row r="21" spans="2:6">
      <c r="B21" s="270" t="s">
        <v>382</v>
      </c>
      <c r="C21" s="271"/>
      <c r="D21" s="272"/>
      <c r="E21" s="271"/>
      <c r="F21" s="273">
        <v>5</v>
      </c>
    </row>
    <row r="22" spans="2:6">
      <c r="B22" s="270" t="s">
        <v>423</v>
      </c>
      <c r="C22" s="275"/>
      <c r="D22" s="272"/>
      <c r="E22" s="271"/>
      <c r="F22" s="273">
        <v>6</v>
      </c>
    </row>
    <row r="23" spans="2:6">
      <c r="B23" s="270" t="s">
        <v>414</v>
      </c>
      <c r="C23" s="271"/>
      <c r="D23" s="272"/>
      <c r="E23" s="271"/>
      <c r="F23" s="273">
        <v>7</v>
      </c>
    </row>
    <row r="24" spans="2:6">
      <c r="B24" s="270" t="s">
        <v>77</v>
      </c>
      <c r="C24" s="271"/>
      <c r="D24" s="272"/>
      <c r="E24" s="271"/>
      <c r="F24" s="273">
        <v>7</v>
      </c>
    </row>
    <row r="25" spans="2:6">
      <c r="B25" s="270" t="s">
        <v>10</v>
      </c>
      <c r="C25" s="271"/>
      <c r="D25" s="272"/>
      <c r="E25" s="271"/>
      <c r="F25" s="273">
        <v>7</v>
      </c>
    </row>
    <row r="26" spans="2:6">
      <c r="B26" s="270" t="s">
        <v>8</v>
      </c>
      <c r="C26" s="271"/>
      <c r="D26" s="272"/>
      <c r="E26" s="271"/>
      <c r="F26" s="273" t="s">
        <v>415</v>
      </c>
    </row>
    <row r="27" spans="2:6">
      <c r="B27" s="270" t="s">
        <v>9</v>
      </c>
      <c r="C27" s="271"/>
      <c r="D27" s="272"/>
      <c r="E27" s="271"/>
      <c r="F27" s="273" t="s">
        <v>415</v>
      </c>
    </row>
    <row r="28" spans="2:6">
      <c r="B28" s="270" t="s">
        <v>33</v>
      </c>
      <c r="C28" s="271"/>
      <c r="D28" s="272"/>
      <c r="E28" s="271"/>
      <c r="F28" s="273" t="s">
        <v>415</v>
      </c>
    </row>
    <row r="29" spans="2:6">
      <c r="B29" s="270" t="s">
        <v>416</v>
      </c>
      <c r="C29" s="271"/>
      <c r="D29" s="272"/>
      <c r="E29" s="271"/>
      <c r="F29" s="273">
        <v>8</v>
      </c>
    </row>
    <row r="30" spans="2:6">
      <c r="B30" s="270" t="s">
        <v>417</v>
      </c>
      <c r="C30" s="271"/>
      <c r="D30" s="272"/>
      <c r="E30" s="271"/>
      <c r="F30" s="273">
        <v>9</v>
      </c>
    </row>
    <row r="31" spans="2:6" ht="15.75" thickBot="1">
      <c r="B31" s="281"/>
      <c r="C31" s="282"/>
      <c r="D31" s="283"/>
      <c r="E31" s="282"/>
      <c r="F31" s="284"/>
    </row>
    <row r="32" spans="2:6" ht="15.75" thickTop="1">
      <c r="B32" s="285"/>
      <c r="C32" s="285"/>
      <c r="D32" s="286"/>
      <c r="E32" s="285"/>
      <c r="F32" s="286"/>
    </row>
    <row r="33" spans="2:6">
      <c r="B33" s="285"/>
      <c r="C33" s="285"/>
      <c r="D33" s="287"/>
      <c r="E33" s="285"/>
      <c r="F33" s="287"/>
    </row>
    <row r="34" spans="2:6">
      <c r="B34" s="285"/>
      <c r="C34" s="285"/>
      <c r="D34" s="285"/>
      <c r="E34" s="285"/>
      <c r="F34" s="286"/>
    </row>
    <row r="35" spans="2:6">
      <c r="B35" s="285"/>
      <c r="C35" s="285"/>
      <c r="D35" s="286"/>
      <c r="E35" s="285"/>
      <c r="F35" s="286"/>
    </row>
    <row r="36" spans="2:6">
      <c r="B36" s="285"/>
      <c r="C36" s="285"/>
      <c r="D36" s="286"/>
      <c r="E36" s="285"/>
      <c r="F36" s="286"/>
    </row>
    <row r="37" spans="2:6">
      <c r="B37" s="285"/>
      <c r="C37" s="285"/>
      <c r="D37" s="286"/>
      <c r="E37" s="285"/>
      <c r="F37" s="286"/>
    </row>
    <row r="38" spans="2:6">
      <c r="B38" s="285"/>
      <c r="C38" s="285"/>
      <c r="D38" s="285"/>
      <c r="E38" s="285"/>
      <c r="F38" s="287"/>
    </row>
    <row r="39" spans="2:6">
      <c r="B39" s="285"/>
      <c r="C39" s="285"/>
      <c r="D39" s="286"/>
      <c r="E39" s="285"/>
      <c r="F39" s="286"/>
    </row>
    <row r="40" spans="2:6">
      <c r="B40" s="285"/>
      <c r="C40" s="285"/>
      <c r="D40" s="286"/>
      <c r="E40" s="285"/>
      <c r="F40" s="286"/>
    </row>
    <row r="41" spans="2:6">
      <c r="B41" s="288"/>
      <c r="C41" s="288"/>
      <c r="D41" s="287"/>
      <c r="E41" s="288"/>
      <c r="F41" s="287"/>
    </row>
    <row r="42" spans="2:6">
      <c r="B42" s="285"/>
      <c r="C42" s="285"/>
      <c r="D42" s="287"/>
      <c r="E42" s="285"/>
      <c r="F42" s="287"/>
    </row>
    <row r="43" spans="2:6">
      <c r="B43" s="62"/>
      <c r="C43" s="34"/>
      <c r="D43" s="69"/>
      <c r="E43" s="34"/>
      <c r="F43" s="71"/>
    </row>
    <row r="44" spans="2:6">
      <c r="B44" s="34"/>
      <c r="C44" s="34"/>
      <c r="D44" s="35"/>
      <c r="E44" s="34"/>
    </row>
    <row r="45" spans="2:6">
      <c r="B45" s="62"/>
      <c r="F45" s="35"/>
    </row>
    <row r="46" spans="2:6">
      <c r="F46" s="71"/>
    </row>
    <row r="47" spans="2:6">
      <c r="F47" s="71"/>
    </row>
    <row r="48" spans="2:6">
      <c r="F48" s="71"/>
    </row>
    <row r="49" spans="6:6">
      <c r="F49" s="71"/>
    </row>
    <row r="50" spans="6:6">
      <c r="F50" s="71"/>
    </row>
    <row r="51" spans="6:6">
      <c r="F51" s="71"/>
    </row>
    <row r="52" spans="6:6">
      <c r="F52" s="71"/>
    </row>
    <row r="53" spans="6:6">
      <c r="F53" s="71"/>
    </row>
    <row r="54" spans="6:6">
      <c r="F54" s="71"/>
    </row>
    <row r="55" spans="6:6">
      <c r="F55" s="71"/>
    </row>
    <row r="56" spans="6:6">
      <c r="F56" s="71"/>
    </row>
    <row r="57" spans="6:6">
      <c r="F57" s="71"/>
    </row>
    <row r="58" spans="6:6">
      <c r="F58" s="71"/>
    </row>
    <row r="59" spans="6:6">
      <c r="F59" s="71"/>
    </row>
    <row r="60" spans="6:6">
      <c r="F60" s="71"/>
    </row>
    <row r="61" spans="6:6">
      <c r="F61" s="71"/>
    </row>
    <row r="62" spans="6:6">
      <c r="F62" s="71"/>
    </row>
    <row r="63" spans="6:6">
      <c r="F63" s="71"/>
    </row>
    <row r="64" spans="6:6">
      <c r="F64" s="71"/>
    </row>
    <row r="65" spans="2:6">
      <c r="F65" s="71"/>
    </row>
    <row r="66" spans="2:6">
      <c r="F66" s="71"/>
    </row>
    <row r="67" spans="2:6">
      <c r="F67" s="71"/>
    </row>
    <row r="68" spans="2:6">
      <c r="F68" s="71"/>
    </row>
    <row r="69" spans="2:6">
      <c r="F69" s="71"/>
    </row>
    <row r="70" spans="2:6">
      <c r="F70" s="71"/>
    </row>
    <row r="71" spans="2:6">
      <c r="F71" s="71"/>
    </row>
    <row r="72" spans="2:6">
      <c r="F72" s="71"/>
    </row>
    <row r="73" spans="2:6">
      <c r="F73" s="71"/>
    </row>
    <row r="74" spans="2:6">
      <c r="F74" s="71"/>
    </row>
    <row r="75" spans="2:6">
      <c r="F75" s="71"/>
    </row>
    <row r="76" spans="2:6">
      <c r="F76" s="71"/>
    </row>
    <row r="79" spans="2:6">
      <c r="B79" s="62"/>
      <c r="F79" s="7">
        <f>+F77+1</f>
        <v>1</v>
      </c>
    </row>
  </sheetData>
  <mergeCells count="4">
    <mergeCell ref="C1:E1"/>
    <mergeCell ref="C2:E2"/>
    <mergeCell ref="C3:E3"/>
    <mergeCell ref="B6:F6"/>
  </mergeCells>
  <printOptions horizontalCentered="1"/>
  <pageMargins left="0" right="0" top="0.4" bottom="0" header="0" footer="0"/>
  <pageSetup scale="94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showOutlineSymbols="0" view="pageBreakPreview" zoomScale="60" zoomScaleNormal="87" workbookViewId="0">
      <selection activeCell="G42" sqref="G42"/>
    </sheetView>
  </sheetViews>
  <sheetFormatPr defaultColWidth="11.44140625" defaultRowHeight="15"/>
  <cols>
    <col min="1" max="1" width="5.5546875" style="14" customWidth="1"/>
    <col min="2" max="2" width="24.33203125" style="14" customWidth="1"/>
    <col min="3" max="3" width="10.6640625" style="14" customWidth="1"/>
    <col min="4" max="4" width="12.6640625" style="14" customWidth="1"/>
    <col min="5" max="5" width="10.33203125" style="14" customWidth="1"/>
    <col min="6" max="6" width="11.21875" style="14" customWidth="1"/>
    <col min="7" max="7" width="14.44140625" style="16" customWidth="1"/>
    <col min="8" max="16384" width="11.44140625" style="14"/>
  </cols>
  <sheetData>
    <row r="1" spans="1:7" ht="15" customHeight="1">
      <c r="A1" s="592" t="str">
        <f>+COV!C23</f>
        <v>Sample Ave Condominium</v>
      </c>
      <c r="B1" s="592"/>
      <c r="C1" s="592"/>
      <c r="D1" s="592"/>
      <c r="E1" s="592"/>
      <c r="F1" s="592"/>
      <c r="G1" s="592"/>
    </row>
    <row r="2" spans="1:7" ht="15" customHeight="1">
      <c r="A2" s="593" t="s">
        <v>17</v>
      </c>
      <c r="B2" s="593"/>
      <c r="C2" s="593"/>
      <c r="D2" s="593"/>
      <c r="E2" s="593"/>
      <c r="F2" s="593"/>
      <c r="G2" s="593"/>
    </row>
    <row r="3" spans="1:7" ht="15" customHeight="1">
      <c r="A3" s="594" t="str">
        <f>yrlycomp!A3</f>
        <v>For Year Ending 12/31/15</v>
      </c>
      <c r="B3" s="594"/>
      <c r="C3" s="594"/>
      <c r="D3" s="594"/>
      <c r="E3" s="594"/>
      <c r="F3" s="594"/>
      <c r="G3" s="594"/>
    </row>
    <row r="4" spans="1:7" ht="20.100000000000001" customHeight="1">
      <c r="D4" s="15"/>
      <c r="E4" s="15"/>
      <c r="F4" s="15"/>
      <c r="G4" s="55" t="s">
        <v>488</v>
      </c>
    </row>
    <row r="5" spans="1:7" ht="15" customHeight="1">
      <c r="B5" s="17" t="s">
        <v>19</v>
      </c>
      <c r="C5" s="17"/>
      <c r="D5" s="15"/>
      <c r="E5" s="15"/>
      <c r="F5" s="15"/>
      <c r="G5" s="344"/>
    </row>
    <row r="6" spans="1:7" ht="15" customHeight="1">
      <c r="B6" s="15" t="str">
        <f>yrlycomp!A9</f>
        <v>Common Charges</v>
      </c>
      <c r="C6" s="15"/>
      <c r="D6" s="330">
        <f>yrlycomp!J9</f>
        <v>441877.34167200001</v>
      </c>
      <c r="E6" s="18"/>
      <c r="F6" s="18"/>
      <c r="G6" s="344"/>
    </row>
    <row r="7" spans="1:7" ht="15" customHeight="1">
      <c r="B7" s="15" t="str">
        <f>yrlycomp!A10</f>
        <v>Miscellaneous Income</v>
      </c>
      <c r="C7" s="15"/>
      <c r="D7" s="335">
        <v>0</v>
      </c>
      <c r="E7" s="19"/>
      <c r="F7" s="19"/>
      <c r="G7" s="344"/>
    </row>
    <row r="8" spans="1:7" ht="15" customHeight="1">
      <c r="B8" s="15" t="str">
        <f>yrlycomp!A11</f>
        <v xml:space="preserve">   Total Income</v>
      </c>
      <c r="C8" s="15"/>
      <c r="D8" s="333">
        <f>SUM(D6:D7)</f>
        <v>441877.34167200001</v>
      </c>
      <c r="E8" s="24"/>
      <c r="F8" s="24"/>
      <c r="G8" s="344"/>
    </row>
    <row r="9" spans="1:7" ht="15" customHeight="1">
      <c r="B9" s="18"/>
      <c r="C9" s="18"/>
      <c r="D9" s="326"/>
      <c r="E9" s="77"/>
      <c r="F9" s="19"/>
      <c r="G9" s="344"/>
    </row>
    <row r="10" spans="1:7" ht="15" customHeight="1">
      <c r="B10" s="17" t="s">
        <v>20</v>
      </c>
      <c r="C10" s="17"/>
      <c r="D10" s="326"/>
      <c r="E10" s="19"/>
      <c r="F10" s="19"/>
      <c r="G10" s="344"/>
    </row>
    <row r="11" spans="1:7" ht="15" customHeight="1">
      <c r="B11" s="15" t="str">
        <f>yrlycomp!A14</f>
        <v>Payroll &amp; Related Expenses</v>
      </c>
      <c r="C11" s="15"/>
      <c r="D11" s="334">
        <f>yrlycomp!J14</f>
        <v>241803.41279999993</v>
      </c>
      <c r="E11" s="19"/>
      <c r="F11" s="72"/>
      <c r="G11" s="344"/>
    </row>
    <row r="12" spans="1:7" ht="15" customHeight="1">
      <c r="B12" s="15" t="str">
        <f>yrlycomp!A15</f>
        <v>Heating</v>
      </c>
      <c r="C12" s="15"/>
      <c r="D12" s="335">
        <f>yrlycomp!J15</f>
        <v>12768.224235590755</v>
      </c>
      <c r="E12" s="19"/>
      <c r="F12" s="72"/>
      <c r="G12" s="344"/>
    </row>
    <row r="13" spans="1:7" ht="15" customHeight="1">
      <c r="B13" s="15" t="str">
        <f>yrlycomp!A16</f>
        <v xml:space="preserve">Electric &amp; Gas </v>
      </c>
      <c r="C13" s="15"/>
      <c r="D13" s="335">
        <f>yrlycomp!J16</f>
        <v>43544.186078053172</v>
      </c>
      <c r="E13" s="19"/>
      <c r="F13" s="19"/>
      <c r="G13" s="344"/>
    </row>
    <row r="14" spans="1:7" ht="15" customHeight="1">
      <c r="B14" s="15" t="str">
        <f>yrlycomp!A17</f>
        <v>Water &amp; Sewer</v>
      </c>
      <c r="C14" s="15"/>
      <c r="D14" s="335">
        <f>yrlycomp!J17</f>
        <v>4536.2436953807737</v>
      </c>
      <c r="E14" s="19"/>
      <c r="F14" s="19"/>
      <c r="G14" s="344"/>
    </row>
    <row r="15" spans="1:7" ht="15" customHeight="1">
      <c r="B15" s="15" t="str">
        <f>yrlycomp!A18</f>
        <v>Repairs/Maint./Supplies</v>
      </c>
      <c r="C15" s="15"/>
      <c r="D15" s="335">
        <f>yrlycomp!J18</f>
        <v>41000</v>
      </c>
      <c r="E15" s="19"/>
      <c r="F15" s="19"/>
      <c r="G15" s="344"/>
    </row>
    <row r="16" spans="1:7" ht="15" customHeight="1">
      <c r="B16" s="15" t="str">
        <f>yrlycomp!A19</f>
        <v>Other Administrative Expense</v>
      </c>
      <c r="C16" s="15"/>
      <c r="D16" s="335">
        <f>yrlycomp!J19</f>
        <v>11620</v>
      </c>
      <c r="E16" s="19"/>
      <c r="F16" s="19"/>
      <c r="G16" s="344"/>
    </row>
    <row r="17" spans="2:9" ht="15" customHeight="1">
      <c r="B17" s="15" t="str">
        <f>yrlycomp!A20</f>
        <v>Professional Fees</v>
      </c>
      <c r="C17" s="15"/>
      <c r="D17" s="335">
        <f>yrlycomp!J20</f>
        <v>8420</v>
      </c>
      <c r="E17" s="19"/>
      <c r="F17" s="19"/>
      <c r="G17" s="344"/>
    </row>
    <row r="18" spans="2:9" ht="15" customHeight="1">
      <c r="B18" s="15" t="str">
        <f>yrlycomp!A21</f>
        <v>Insurance</v>
      </c>
      <c r="C18" s="15"/>
      <c r="D18" s="335">
        <f>yrlycomp!J21</f>
        <v>12235.34</v>
      </c>
      <c r="E18" s="19"/>
      <c r="F18" s="19"/>
      <c r="G18" s="344"/>
    </row>
    <row r="19" spans="2:9" ht="15" customHeight="1">
      <c r="B19" s="15" t="str">
        <f>yrlycomp!A22</f>
        <v>Management Fees</v>
      </c>
      <c r="C19" s="15"/>
      <c r="D19" s="335">
        <f>yrlycomp!J22</f>
        <v>24000</v>
      </c>
      <c r="E19" s="19"/>
      <c r="F19" s="19"/>
      <c r="G19" s="344"/>
    </row>
    <row r="20" spans="2:9" ht="15" customHeight="1">
      <c r="B20" s="15" t="str">
        <f>yrlycomp!A23</f>
        <v>Corporate Taxes</v>
      </c>
      <c r="C20" s="15"/>
      <c r="D20" s="335">
        <f>yrlycomp!J23</f>
        <v>600</v>
      </c>
      <c r="E20" s="19"/>
      <c r="F20" s="19"/>
      <c r="G20" s="344"/>
    </row>
    <row r="21" spans="2:9" ht="15" customHeight="1">
      <c r="B21" s="15" t="str">
        <f>yrlycomp!A24</f>
        <v xml:space="preserve">   Total Expenses</v>
      </c>
      <c r="C21" s="15"/>
      <c r="D21" s="333">
        <f>yrlycomp!J24</f>
        <v>400527.40680902463</v>
      </c>
      <c r="E21" s="19"/>
      <c r="F21" s="19"/>
      <c r="G21" s="344"/>
      <c r="I21" s="529"/>
    </row>
    <row r="22" spans="2:9" ht="15" customHeight="1">
      <c r="B22" s="15"/>
      <c r="C22" s="15"/>
      <c r="D22" s="327"/>
      <c r="E22" s="24"/>
      <c r="F22" s="24"/>
      <c r="G22" s="344"/>
    </row>
    <row r="23" spans="2:9" ht="15" customHeight="1">
      <c r="B23" s="15" t="s">
        <v>21</v>
      </c>
      <c r="C23" s="15"/>
      <c r="D23" s="330">
        <f>+D8-D21</f>
        <v>41349.93486297538</v>
      </c>
      <c r="E23" s="58"/>
      <c r="F23" s="20"/>
      <c r="G23" s="23" t="s">
        <v>18</v>
      </c>
    </row>
    <row r="24" spans="2:9" ht="15" customHeight="1">
      <c r="B24" s="15"/>
      <c r="C24" s="15"/>
      <c r="D24" s="326"/>
      <c r="E24" s="58"/>
      <c r="F24" s="20"/>
      <c r="G24" s="23"/>
    </row>
    <row r="25" spans="2:9" ht="15" customHeight="1">
      <c r="B25" s="65" t="s">
        <v>318</v>
      </c>
      <c r="D25" s="328"/>
      <c r="G25" s="23"/>
      <c r="I25" s="529"/>
    </row>
    <row r="26" spans="2:9" ht="15" customHeight="1">
      <c r="B26" s="65" t="s">
        <v>70</v>
      </c>
      <c r="D26" s="328"/>
      <c r="F26" s="289">
        <f>+income!G22</f>
        <v>2.75E-2</v>
      </c>
      <c r="G26" s="23"/>
      <c r="I26" s="289">
        <f>IF(-D23/D6&gt;0,-D23/D6,0)</f>
        <v>0</v>
      </c>
    </row>
    <row r="27" spans="2:9" ht="15" customHeight="1">
      <c r="C27" s="15"/>
      <c r="D27" s="329"/>
      <c r="E27" s="20"/>
      <c r="F27" s="20"/>
      <c r="G27" s="23"/>
    </row>
    <row r="28" spans="2:9" ht="15" customHeight="1">
      <c r="B28" s="21" t="str">
        <f>yrlycomp!A28</f>
        <v>Add: Interest Income</v>
      </c>
      <c r="C28" s="15"/>
      <c r="D28" s="331">
        <f>+yrlycomp!J28</f>
        <v>900</v>
      </c>
      <c r="E28" s="58"/>
      <c r="F28" s="20"/>
      <c r="G28" s="23"/>
    </row>
    <row r="29" spans="2:9" ht="15" customHeight="1">
      <c r="B29" s="21" t="str">
        <f>yrlycomp!A29</f>
        <v>Add: Flip/Transfer Tax</v>
      </c>
      <c r="C29" s="15"/>
      <c r="D29" s="335">
        <f>+yrlycomp!J29</f>
        <v>0</v>
      </c>
      <c r="E29" s="58"/>
      <c r="F29" s="20"/>
      <c r="G29" s="23"/>
    </row>
    <row r="30" spans="2:9" ht="15" customHeight="1">
      <c r="B30" s="21" t="s">
        <v>362</v>
      </c>
      <c r="D30" s="335">
        <f>+yrlycomp!J31</f>
        <v>0</v>
      </c>
      <c r="F30" s="21"/>
      <c r="G30" s="344"/>
    </row>
    <row r="31" spans="2:9" ht="15" customHeight="1" thickBot="1">
      <c r="B31" s="15" t="s">
        <v>22</v>
      </c>
      <c r="C31" s="15"/>
      <c r="D31" s="332">
        <f>SUM(D23:D30)</f>
        <v>42249.93486297538</v>
      </c>
      <c r="E31" s="77"/>
      <c r="G31" s="344"/>
    </row>
    <row r="32" spans="2:9" ht="15" customHeight="1" thickTop="1"/>
    <row r="33" spans="2:13" ht="15" customHeight="1">
      <c r="B33" s="65" t="s">
        <v>318</v>
      </c>
    </row>
    <row r="34" spans="2:13" ht="15" customHeight="1">
      <c r="B34" s="65" t="s">
        <v>61</v>
      </c>
      <c r="M34" s="289">
        <f>IF(-D31/D6&gt;0,-D31/D6,0)</f>
        <v>0</v>
      </c>
    </row>
    <row r="35" spans="2:13" ht="15" customHeight="1">
      <c r="B35" s="65"/>
      <c r="F35" s="101"/>
    </row>
    <row r="36" spans="2:13" ht="15" customHeight="1" thickBot="1"/>
    <row r="37" spans="2:13" ht="15" customHeight="1">
      <c r="B37" s="162" t="s">
        <v>305</v>
      </c>
      <c r="C37" s="163"/>
      <c r="D37" s="163"/>
      <c r="E37" s="163"/>
      <c r="F37" s="163"/>
      <c r="G37" s="164"/>
    </row>
    <row r="38" spans="2:13" ht="15" customHeight="1">
      <c r="B38" s="165"/>
      <c r="C38" s="120"/>
      <c r="D38" s="120"/>
      <c r="E38" s="120"/>
      <c r="F38" s="290" t="s">
        <v>80</v>
      </c>
      <c r="G38" s="166"/>
    </row>
    <row r="39" spans="2:13" ht="15" customHeight="1">
      <c r="B39" s="167" t="s">
        <v>306</v>
      </c>
      <c r="C39" s="88" t="s">
        <v>523</v>
      </c>
      <c r="D39" s="120"/>
      <c r="E39" s="120"/>
      <c r="F39" s="290">
        <v>1000</v>
      </c>
      <c r="G39" s="499">
        <v>7500</v>
      </c>
    </row>
    <row r="40" spans="2:13" ht="15" customHeight="1">
      <c r="B40" s="168"/>
      <c r="C40" s="297" t="s">
        <v>524</v>
      </c>
      <c r="D40" s="120"/>
      <c r="E40" s="120"/>
      <c r="F40" s="290">
        <v>1018</v>
      </c>
      <c r="G40" s="499">
        <v>185000</v>
      </c>
    </row>
    <row r="41" spans="2:13" ht="15" customHeight="1">
      <c r="B41" s="168"/>
      <c r="C41" s="297" t="s">
        <v>525</v>
      </c>
      <c r="D41" s="120"/>
      <c r="E41" s="120"/>
      <c r="F41" s="290">
        <v>1019</v>
      </c>
      <c r="G41" s="499">
        <v>215000</v>
      </c>
    </row>
    <row r="42" spans="2:13" ht="15" customHeight="1">
      <c r="B42" s="168"/>
      <c r="C42" s="120" t="s">
        <v>71</v>
      </c>
      <c r="D42" s="120"/>
      <c r="E42" s="120"/>
      <c r="F42" s="120"/>
      <c r="G42" s="175">
        <f>SUM(G39:G41)</f>
        <v>407500</v>
      </c>
    </row>
    <row r="43" spans="2:13" ht="15" hidden="1" customHeight="1">
      <c r="B43" s="168"/>
      <c r="C43" s="120"/>
      <c r="D43" s="120"/>
      <c r="E43" s="120"/>
      <c r="F43" s="120"/>
      <c r="G43" s="176"/>
    </row>
    <row r="44" spans="2:13" ht="15" hidden="1" customHeight="1">
      <c r="B44" s="500" t="s">
        <v>78</v>
      </c>
      <c r="C44" s="88" t="s">
        <v>63</v>
      </c>
      <c r="D44" s="120"/>
      <c r="E44" s="120"/>
      <c r="F44" s="120"/>
      <c r="G44" s="499">
        <v>0</v>
      </c>
    </row>
    <row r="45" spans="2:13" ht="15" hidden="1" customHeight="1">
      <c r="B45" s="168"/>
      <c r="C45" s="88" t="s">
        <v>64</v>
      </c>
      <c r="D45" s="120"/>
      <c r="E45" s="120"/>
      <c r="F45" s="120"/>
      <c r="G45" s="499">
        <v>0</v>
      </c>
    </row>
    <row r="46" spans="2:13" ht="15" hidden="1" customHeight="1">
      <c r="B46" s="168"/>
      <c r="C46" s="88" t="s">
        <v>65</v>
      </c>
      <c r="D46" s="120"/>
      <c r="E46" s="120"/>
      <c r="F46" s="120"/>
      <c r="G46" s="499">
        <v>0</v>
      </c>
    </row>
    <row r="47" spans="2:13" ht="15" hidden="1" customHeight="1">
      <c r="B47" s="168"/>
      <c r="C47" s="120" t="s">
        <v>71</v>
      </c>
      <c r="D47" s="120"/>
      <c r="E47" s="120"/>
      <c r="F47" s="120"/>
      <c r="G47" s="501">
        <f>SUM(G44:G46)</f>
        <v>0</v>
      </c>
    </row>
    <row r="48" spans="2:13" ht="15" customHeight="1" thickBot="1">
      <c r="B48" s="168"/>
      <c r="C48" s="120"/>
      <c r="D48" s="120"/>
      <c r="E48" s="120"/>
      <c r="F48" s="120"/>
      <c r="G48" s="499"/>
    </row>
    <row r="49" spans="2:7" ht="15" customHeight="1" thickTop="1" thickBot="1">
      <c r="B49" s="169" t="s">
        <v>487</v>
      </c>
      <c r="C49" s="120"/>
      <c r="D49" s="120"/>
      <c r="E49" s="120"/>
      <c r="F49" s="120"/>
      <c r="G49" s="502">
        <f>SUM(G42:G48)</f>
        <v>407500</v>
      </c>
    </row>
    <row r="50" spans="2:7" ht="15" customHeight="1" thickTop="1" thickBot="1">
      <c r="B50" s="170"/>
      <c r="C50" s="171"/>
      <c r="D50" s="171"/>
      <c r="E50" s="171"/>
      <c r="F50" s="171"/>
      <c r="G50" s="172"/>
    </row>
    <row r="51" spans="2:7" ht="15" customHeight="1">
      <c r="B51" s="120"/>
      <c r="C51" s="120"/>
      <c r="D51" s="120"/>
      <c r="E51" s="120"/>
      <c r="F51" s="120"/>
      <c r="G51" s="122"/>
    </row>
    <row r="52" spans="2:7" ht="15" customHeight="1">
      <c r="B52" s="120"/>
      <c r="C52" s="120"/>
      <c r="D52" s="120"/>
      <c r="E52" s="120"/>
      <c r="F52" s="120"/>
      <c r="G52" s="122"/>
    </row>
    <row r="53" spans="2:7" ht="15" customHeight="1">
      <c r="B53" s="120"/>
      <c r="C53" s="120"/>
      <c r="D53" s="120"/>
      <c r="E53" s="120"/>
      <c r="F53" s="120"/>
      <c r="G53" s="122"/>
    </row>
    <row r="54" spans="2:7" ht="15" customHeight="1">
      <c r="B54" s="120"/>
      <c r="C54" s="120"/>
      <c r="D54" s="344" t="s">
        <v>23</v>
      </c>
      <c r="E54" s="120"/>
      <c r="F54" s="120"/>
      <c r="G54" s="122"/>
    </row>
    <row r="55" spans="2:7" ht="15" customHeight="1">
      <c r="B55" s="14" t="s">
        <v>18</v>
      </c>
      <c r="C55" s="22" t="s">
        <v>18</v>
      </c>
      <c r="E55" s="15"/>
    </row>
    <row r="56" spans="2:7" ht="15" customHeight="1">
      <c r="B56" s="14" t="s">
        <v>18</v>
      </c>
      <c r="F56" s="15"/>
    </row>
    <row r="59" spans="2:7" ht="15.75">
      <c r="B59" s="65"/>
      <c r="F59" s="101"/>
    </row>
    <row r="60" spans="2:7" ht="15.75">
      <c r="B60" s="65"/>
      <c r="F60" s="101"/>
    </row>
    <row r="62" spans="2:7" ht="15.75">
      <c r="B62" s="100" t="s">
        <v>62</v>
      </c>
    </row>
    <row r="64" spans="2:7">
      <c r="B64" s="14" t="str">
        <f>+B6</f>
        <v>Common Charges</v>
      </c>
      <c r="C64" s="67">
        <f>+D6</f>
        <v>441877.34167200001</v>
      </c>
    </row>
    <row r="65" spans="2:3">
      <c r="B65" s="14" t="str">
        <f>+B7</f>
        <v>Miscellaneous Income</v>
      </c>
      <c r="C65" s="67">
        <f>+D7</f>
        <v>0</v>
      </c>
    </row>
    <row r="66" spans="2:3">
      <c r="B66" s="14" t="str">
        <f>+B8</f>
        <v xml:space="preserve">   Total Income</v>
      </c>
      <c r="C66" s="67">
        <f>+D8</f>
        <v>441877.34167200001</v>
      </c>
    </row>
    <row r="67" spans="2:3">
      <c r="C67" s="67"/>
    </row>
    <row r="68" spans="2:3">
      <c r="C68" s="67"/>
    </row>
    <row r="69" spans="2:3">
      <c r="B69" s="14" t="str">
        <f>+B10</f>
        <v>Operating Expenses</v>
      </c>
    </row>
    <row r="70" spans="2:3">
      <c r="B70" s="14" t="str">
        <f>+B11</f>
        <v>Payroll &amp; Related Expenses</v>
      </c>
      <c r="C70" s="67">
        <f>+D11</f>
        <v>241803.41279999993</v>
      </c>
    </row>
    <row r="71" spans="2:3">
      <c r="B71" s="14" t="str">
        <f t="shared" ref="B71:B79" si="0">+B12</f>
        <v>Heating</v>
      </c>
      <c r="C71" s="67">
        <f t="shared" ref="C71:C79" si="1">+D12</f>
        <v>12768.224235590755</v>
      </c>
    </row>
    <row r="72" spans="2:3">
      <c r="B72" s="14" t="str">
        <f t="shared" si="0"/>
        <v xml:space="preserve">Electric &amp; Gas </v>
      </c>
      <c r="C72" s="67">
        <f t="shared" si="1"/>
        <v>43544.186078053172</v>
      </c>
    </row>
    <row r="73" spans="2:3">
      <c r="B73" s="14" t="str">
        <f t="shared" si="0"/>
        <v>Water &amp; Sewer</v>
      </c>
      <c r="C73" s="67">
        <f t="shared" si="1"/>
        <v>4536.2436953807737</v>
      </c>
    </row>
    <row r="74" spans="2:3">
      <c r="B74" s="14" t="str">
        <f t="shared" si="0"/>
        <v>Repairs/Maint./Supplies</v>
      </c>
      <c r="C74" s="67">
        <f t="shared" si="1"/>
        <v>41000</v>
      </c>
    </row>
    <row r="75" spans="2:3">
      <c r="B75" s="14" t="str">
        <f t="shared" si="0"/>
        <v>Other Administrative Expense</v>
      </c>
      <c r="C75" s="67">
        <f t="shared" si="1"/>
        <v>11620</v>
      </c>
    </row>
    <row r="76" spans="2:3">
      <c r="B76" s="14" t="str">
        <f t="shared" si="0"/>
        <v>Professional Fees</v>
      </c>
      <c r="C76" s="67">
        <f t="shared" si="1"/>
        <v>8420</v>
      </c>
    </row>
    <row r="77" spans="2:3">
      <c r="B77" s="14" t="str">
        <f t="shared" si="0"/>
        <v>Insurance</v>
      </c>
      <c r="C77" s="67">
        <f t="shared" si="1"/>
        <v>12235.34</v>
      </c>
    </row>
    <row r="78" spans="2:3">
      <c r="B78" s="14" t="str">
        <f t="shared" si="0"/>
        <v>Management Fees</v>
      </c>
      <c r="C78" s="67">
        <f t="shared" si="1"/>
        <v>24000</v>
      </c>
    </row>
    <row r="79" spans="2:3">
      <c r="B79" s="14" t="str">
        <f t="shared" si="0"/>
        <v>Corporate Taxes</v>
      </c>
      <c r="C79" s="67">
        <f t="shared" si="1"/>
        <v>600</v>
      </c>
    </row>
    <row r="80" spans="2:3">
      <c r="B80" s="14" t="str">
        <f t="shared" ref="B80" si="2">+B21</f>
        <v xml:space="preserve">   Total Expenses</v>
      </c>
      <c r="C80" s="67">
        <f>SUM(C70:C79)</f>
        <v>400527.40680902463</v>
      </c>
    </row>
    <row r="82" spans="3:3">
      <c r="C82" s="67"/>
    </row>
    <row r="83" spans="3:3">
      <c r="C83" s="67"/>
    </row>
  </sheetData>
  <mergeCells count="3">
    <mergeCell ref="A1:G1"/>
    <mergeCell ref="A2:G2"/>
    <mergeCell ref="A3:G3"/>
  </mergeCells>
  <phoneticPr fontId="31" type="noConversion"/>
  <printOptions horizontalCentered="1"/>
  <pageMargins left="0" right="0" top="0" bottom="0" header="0" footer="0"/>
  <pageSetup scale="9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showOutlineSymbols="0" zoomScale="87" workbookViewId="0">
      <selection activeCell="H10" sqref="H10"/>
    </sheetView>
  </sheetViews>
  <sheetFormatPr defaultColWidth="11.21875" defaultRowHeight="15"/>
  <cols>
    <col min="1" max="1" width="35.77734375" style="1" customWidth="1"/>
    <col min="2" max="2" width="3.6640625" style="1" customWidth="1"/>
    <col min="3" max="3" width="12" style="1" hidden="1" customWidth="1"/>
    <col min="4" max="4" width="12" style="1" customWidth="1"/>
    <col min="5" max="5" width="11.77734375" style="1" customWidth="1"/>
    <col min="6" max="6" width="11.44140625" style="1" customWidth="1"/>
    <col min="7" max="7" width="11.109375" style="1" customWidth="1"/>
    <col min="8" max="9" width="12.109375" style="1" customWidth="1"/>
    <col min="10" max="10" width="11.88671875" style="1" customWidth="1"/>
    <col min="11" max="16384" width="11.21875" style="1"/>
  </cols>
  <sheetData>
    <row r="1" spans="1:12" ht="15.75">
      <c r="A1" s="595" t="str">
        <f>+COV!C23</f>
        <v>Sample Ave Condominium</v>
      </c>
      <c r="B1" s="595"/>
      <c r="C1" s="595"/>
      <c r="D1" s="595"/>
      <c r="E1" s="595"/>
      <c r="F1" s="595"/>
      <c r="G1" s="595"/>
      <c r="H1" s="595"/>
      <c r="I1" s="595"/>
      <c r="J1" s="595"/>
    </row>
    <row r="2" spans="1:12" ht="15.75">
      <c r="A2" s="595" t="s">
        <v>0</v>
      </c>
      <c r="B2" s="595"/>
      <c r="C2" s="595"/>
      <c r="D2" s="595"/>
      <c r="E2" s="595"/>
      <c r="F2" s="595"/>
      <c r="G2" s="595"/>
      <c r="H2" s="595"/>
      <c r="I2" s="595"/>
      <c r="J2" s="595"/>
    </row>
    <row r="3" spans="1:12" ht="15.75">
      <c r="A3" s="595" t="str">
        <f>+COV!C25</f>
        <v>For Year Ending 12/31/15</v>
      </c>
      <c r="B3" s="595"/>
      <c r="C3" s="595"/>
      <c r="D3" s="595"/>
      <c r="E3" s="595"/>
      <c r="F3" s="595"/>
      <c r="G3" s="595"/>
      <c r="H3" s="595"/>
      <c r="I3" s="595"/>
      <c r="J3" s="595"/>
    </row>
    <row r="4" spans="1:12" ht="15.75">
      <c r="A4" s="503"/>
      <c r="B4" s="503"/>
      <c r="C4" s="503"/>
      <c r="D4" s="503"/>
      <c r="E4" s="503"/>
      <c r="F4" s="503"/>
      <c r="G4" s="503"/>
      <c r="H4" s="503"/>
      <c r="I4" s="503"/>
      <c r="J4" s="503"/>
    </row>
    <row r="6" spans="1:12" s="30" customFormat="1">
      <c r="A6" s="29"/>
      <c r="B6" s="29"/>
      <c r="C6" s="87">
        <v>2011</v>
      </c>
      <c r="D6" s="87">
        <v>2012</v>
      </c>
      <c r="E6" s="87">
        <f>+D6+1</f>
        <v>2013</v>
      </c>
      <c r="F6" s="87">
        <f>+E6+1</f>
        <v>2014</v>
      </c>
      <c r="G6" s="63">
        <f>+$F$6</f>
        <v>2014</v>
      </c>
      <c r="H6" s="63">
        <f>+$F$6</f>
        <v>2014</v>
      </c>
      <c r="I6" s="63">
        <f>+$F$6</f>
        <v>2014</v>
      </c>
      <c r="J6" s="87">
        <f>+I6+1</f>
        <v>2015</v>
      </c>
    </row>
    <row r="7" spans="1:12" ht="15.75" thickBot="1">
      <c r="A7" s="2"/>
      <c r="B7" s="2"/>
      <c r="C7" s="3" t="s">
        <v>1</v>
      </c>
      <c r="D7" s="3" t="s">
        <v>1</v>
      </c>
      <c r="E7" s="3" t="s">
        <v>1</v>
      </c>
      <c r="F7" s="194" t="s">
        <v>380</v>
      </c>
      <c r="G7" s="194" t="s">
        <v>381</v>
      </c>
      <c r="H7" s="64" t="s">
        <v>50</v>
      </c>
      <c r="I7" s="3" t="s">
        <v>2</v>
      </c>
      <c r="J7" s="3" t="s">
        <v>2</v>
      </c>
    </row>
    <row r="8" spans="1:12" ht="16.5" thickTop="1">
      <c r="A8" s="4" t="s">
        <v>3</v>
      </c>
      <c r="B8" s="4"/>
      <c r="C8" s="57"/>
      <c r="D8" s="57"/>
      <c r="E8" s="57"/>
      <c r="F8" s="57"/>
      <c r="G8" s="57"/>
      <c r="H8" s="57"/>
      <c r="I8" s="57"/>
      <c r="J8" s="57"/>
    </row>
    <row r="9" spans="1:12">
      <c r="A9" s="2" t="s">
        <v>357</v>
      </c>
      <c r="B9" s="2"/>
      <c r="C9" s="317">
        <v>413510</v>
      </c>
      <c r="D9" s="504">
        <v>430050</v>
      </c>
      <c r="E9" s="504">
        <v>430050</v>
      </c>
      <c r="F9" s="504">
        <f>358400-6400</f>
        <v>352000</v>
      </c>
      <c r="G9" s="504">
        <f>+H9-F9</f>
        <v>78050.940799999982</v>
      </c>
      <c r="H9" s="505">
        <f>+income!F20</f>
        <v>430050.94079999998</v>
      </c>
      <c r="I9" s="504">
        <v>430051</v>
      </c>
      <c r="J9" s="504">
        <f>+income!F22</f>
        <v>441877.34167200001</v>
      </c>
    </row>
    <row r="10" spans="1:12">
      <c r="A10" s="5" t="s">
        <v>55</v>
      </c>
      <c r="B10" s="5"/>
      <c r="C10" s="324">
        <v>476</v>
      </c>
      <c r="D10" s="511">
        <v>1000</v>
      </c>
      <c r="E10" s="511">
        <v>500</v>
      </c>
      <c r="F10" s="511">
        <v>100</v>
      </c>
      <c r="G10" s="511"/>
      <c r="H10" s="512">
        <f>+SUM(F10:G10)</f>
        <v>100</v>
      </c>
      <c r="I10" s="511">
        <v>0</v>
      </c>
      <c r="J10" s="512">
        <v>0</v>
      </c>
    </row>
    <row r="11" spans="1:12" ht="15.75" thickBot="1">
      <c r="A11" s="5" t="s">
        <v>4</v>
      </c>
      <c r="B11" s="5"/>
      <c r="C11" s="319">
        <f>SUM(C8:C10)</f>
        <v>413986</v>
      </c>
      <c r="D11" s="506">
        <f>SUM(D8:D10)</f>
        <v>431050</v>
      </c>
      <c r="E11" s="506">
        <f>SUM(E8:E10)</f>
        <v>430550</v>
      </c>
      <c r="F11" s="506">
        <f>SUM(F9:F10)</f>
        <v>352100</v>
      </c>
      <c r="G11" s="506">
        <f>SUM(G9:G10)</f>
        <v>78050.940799999982</v>
      </c>
      <c r="H11" s="506">
        <f>SUM(H8:H10)</f>
        <v>430150.94079999998</v>
      </c>
      <c r="I11" s="506">
        <f>SUM(I8:I10)</f>
        <v>430051</v>
      </c>
      <c r="J11" s="506">
        <f>SUM(J8:J10)</f>
        <v>441877.34167200001</v>
      </c>
    </row>
    <row r="12" spans="1:12" ht="15.75" thickTop="1">
      <c r="A12" s="2"/>
      <c r="B12" s="2"/>
      <c r="C12" s="57"/>
      <c r="D12" s="57"/>
      <c r="E12" s="57"/>
      <c r="F12" s="57"/>
      <c r="G12" s="57"/>
      <c r="H12" s="57"/>
      <c r="I12" s="57"/>
      <c r="J12" s="57"/>
    </row>
    <row r="13" spans="1:12" ht="15.75">
      <c r="A13" s="4" t="s">
        <v>5</v>
      </c>
      <c r="B13" s="4"/>
      <c r="C13" s="57"/>
      <c r="D13" s="57"/>
      <c r="E13" s="57"/>
      <c r="F13" s="57"/>
      <c r="G13" s="57"/>
      <c r="H13" s="57"/>
      <c r="I13" s="57"/>
      <c r="J13" s="57"/>
    </row>
    <row r="14" spans="1:12">
      <c r="A14" s="2" t="s">
        <v>324</v>
      </c>
      <c r="B14" s="143"/>
      <c r="C14" s="317">
        <f>210577+18745+5614</f>
        <v>234936</v>
      </c>
      <c r="D14" s="504">
        <v>233591</v>
      </c>
      <c r="E14" s="504">
        <v>237000</v>
      </c>
      <c r="F14" s="504">
        <f>236000-2700</f>
        <v>233300</v>
      </c>
      <c r="G14" s="504">
        <f>+H14-F14</f>
        <v>35892.307692307688</v>
      </c>
      <c r="H14" s="504">
        <f>Payroll!I36</f>
        <v>269192.30769230769</v>
      </c>
      <c r="I14" s="504">
        <v>261549.83758000002</v>
      </c>
      <c r="J14" s="504">
        <f>Payroll!K36</f>
        <v>241803.41279999993</v>
      </c>
      <c r="K14" s="528">
        <f>+(J14-H14)/H14</f>
        <v>-0.10174471598799852</v>
      </c>
      <c r="L14" s="305">
        <f>+K14/H14</f>
        <v>-3.7796293980396651E-7</v>
      </c>
    </row>
    <row r="15" spans="1:12">
      <c r="A15" s="195" t="s">
        <v>432</v>
      </c>
      <c r="B15" s="2"/>
      <c r="C15" s="315">
        <v>13869</v>
      </c>
      <c r="D15" s="513">
        <v>9950</v>
      </c>
      <c r="E15" s="513">
        <v>14000</v>
      </c>
      <c r="F15" s="513">
        <v>13729</v>
      </c>
      <c r="G15" s="513">
        <f>+H15-F15</f>
        <v>-1173.5751125089319</v>
      </c>
      <c r="H15" s="513">
        <f>Heating!E67</f>
        <v>12555.424887491068</v>
      </c>
      <c r="I15" s="513">
        <v>12414.41997551629</v>
      </c>
      <c r="J15" s="513">
        <f>Heating!E83</f>
        <v>12768.224235590755</v>
      </c>
      <c r="K15" s="528">
        <f t="shared" ref="K15:K23" si="0">+(J15-H15)/H15</f>
        <v>1.6948797034475344E-2</v>
      </c>
      <c r="L15" s="305">
        <f>+K15/H15</f>
        <v>1.3499182374434321E-6</v>
      </c>
    </row>
    <row r="16" spans="1:12">
      <c r="A16" s="2" t="s">
        <v>431</v>
      </c>
      <c r="B16" s="2"/>
      <c r="C16" s="315">
        <v>41872</v>
      </c>
      <c r="D16" s="513">
        <v>36900</v>
      </c>
      <c r="E16" s="513">
        <v>42000</v>
      </c>
      <c r="F16" s="513">
        <f>34381+2623</f>
        <v>37004</v>
      </c>
      <c r="G16" s="513">
        <f t="shared" ref="G16:G22" si="1">+H16-F16</f>
        <v>5816.2154117779646</v>
      </c>
      <c r="H16" s="513">
        <f>+'Electric &amp; Gas'!E71+'Electric &amp; Gas'!L71</f>
        <v>42820.215411777965</v>
      </c>
      <c r="I16" s="513">
        <v>44253.665265567412</v>
      </c>
      <c r="J16" s="513">
        <f>+'Electric &amp; Gas'!E88+'Electric &amp; Gas'!L88</f>
        <v>43544.186078053172</v>
      </c>
      <c r="K16" s="528">
        <f t="shared" si="0"/>
        <v>1.6907216820681251E-2</v>
      </c>
      <c r="L16" s="305">
        <f>+K16/H16</f>
        <v>3.9484193757770812E-7</v>
      </c>
    </row>
    <row r="17" spans="1:12">
      <c r="A17" s="2" t="s">
        <v>11</v>
      </c>
      <c r="B17" s="2"/>
      <c r="C17" s="315">
        <v>3449</v>
      </c>
      <c r="D17" s="513">
        <v>3700</v>
      </c>
      <c r="E17" s="513">
        <v>4000</v>
      </c>
      <c r="F17" s="513">
        <v>4100</v>
      </c>
      <c r="G17" s="513">
        <f>+H17-F17</f>
        <v>261.77278401997501</v>
      </c>
      <c r="H17" s="513">
        <f>'wtrswr-new'!G21</f>
        <v>4361.772784019975</v>
      </c>
      <c r="I17" s="513">
        <v>4369.2665825559689</v>
      </c>
      <c r="J17" s="513">
        <f>'wtrswr-new'!I21</f>
        <v>4536.2436953807737</v>
      </c>
      <c r="K17" s="528">
        <f t="shared" si="0"/>
        <v>3.9999999999999931E-2</v>
      </c>
      <c r="L17" s="305">
        <f t="shared" ref="L17:L23" si="2">+K17/H17</f>
        <v>9.1705831506276709E-6</v>
      </c>
    </row>
    <row r="18" spans="1:12">
      <c r="A18" s="2" t="s">
        <v>6</v>
      </c>
      <c r="B18" s="2"/>
      <c r="C18" s="315">
        <f>3123+32875</f>
        <v>35998</v>
      </c>
      <c r="D18" s="513">
        <v>70300</v>
      </c>
      <c r="E18" s="513">
        <v>51000</v>
      </c>
      <c r="F18" s="513">
        <f>+'other Operating'!D29</f>
        <v>44428.07</v>
      </c>
      <c r="G18" s="513">
        <f t="shared" si="1"/>
        <v>373.40000000000146</v>
      </c>
      <c r="H18" s="513">
        <f>'other Operating'!H29</f>
        <v>44801.47</v>
      </c>
      <c r="I18" s="513">
        <v>44900</v>
      </c>
      <c r="J18" s="513">
        <f>'other Operating'!J29</f>
        <v>41000</v>
      </c>
      <c r="K18" s="528">
        <f t="shared" si="0"/>
        <v>-8.4851456882999624E-2</v>
      </c>
      <c r="L18" s="305">
        <f t="shared" si="2"/>
        <v>-1.8939435889715141E-6</v>
      </c>
    </row>
    <row r="19" spans="1:12">
      <c r="A19" s="2" t="s">
        <v>7</v>
      </c>
      <c r="B19" s="2"/>
      <c r="C19" s="315">
        <f>6529+5748</f>
        <v>12277</v>
      </c>
      <c r="D19" s="513">
        <v>15600</v>
      </c>
      <c r="E19" s="513">
        <v>14000</v>
      </c>
      <c r="F19" s="513">
        <f>+'other Operating'!D41</f>
        <v>10043</v>
      </c>
      <c r="G19" s="513">
        <f t="shared" si="1"/>
        <v>1694.2699999999986</v>
      </c>
      <c r="H19" s="513">
        <f>'other Operating'!H41</f>
        <v>11737.269999999999</v>
      </c>
      <c r="I19" s="513">
        <v>13500</v>
      </c>
      <c r="J19" s="513">
        <f>'other Operating'!J41</f>
        <v>11620</v>
      </c>
      <c r="K19" s="528">
        <f t="shared" si="0"/>
        <v>-9.9912500947834226E-3</v>
      </c>
      <c r="L19" s="305">
        <f t="shared" si="2"/>
        <v>-8.5124139555309062E-7</v>
      </c>
    </row>
    <row r="20" spans="1:12">
      <c r="A20" s="2" t="s">
        <v>10</v>
      </c>
      <c r="B20" s="2"/>
      <c r="C20" s="315">
        <v>42389</v>
      </c>
      <c r="D20" s="513">
        <v>8000</v>
      </c>
      <c r="E20" s="513">
        <v>8500</v>
      </c>
      <c r="F20" s="513">
        <f>+'other Operating'!D49</f>
        <v>19589</v>
      </c>
      <c r="G20" s="513">
        <f>+H20-F20</f>
        <v>-7722.7800000000007</v>
      </c>
      <c r="H20" s="513">
        <f>'other Operating'!H49</f>
        <v>11866.22</v>
      </c>
      <c r="I20" s="513">
        <v>10600</v>
      </c>
      <c r="J20" s="513">
        <f>'other Operating'!J49</f>
        <v>8420</v>
      </c>
      <c r="K20" s="528">
        <f t="shared" si="0"/>
        <v>-0.29042272939487046</v>
      </c>
      <c r="L20" s="305">
        <f t="shared" si="2"/>
        <v>-2.4474746751271296E-5</v>
      </c>
    </row>
    <row r="21" spans="1:12">
      <c r="A21" s="2" t="s">
        <v>8</v>
      </c>
      <c r="B21" s="2"/>
      <c r="C21" s="315">
        <v>21225</v>
      </c>
      <c r="D21" s="513">
        <v>21000</v>
      </c>
      <c r="E21" s="513">
        <v>25000</v>
      </c>
      <c r="F21" s="513">
        <v>5014</v>
      </c>
      <c r="G21" s="513">
        <f>+H21-F21</f>
        <v>7780</v>
      </c>
      <c r="H21" s="513">
        <f>+'Other operating 2'!H11</f>
        <v>12794</v>
      </c>
      <c r="I21" s="513">
        <v>13374.940180000001</v>
      </c>
      <c r="J21" s="513">
        <f>+'Other operating 2'!J11</f>
        <v>12235.34</v>
      </c>
      <c r="K21" s="528">
        <f t="shared" si="0"/>
        <v>-4.3665780834766285E-2</v>
      </c>
      <c r="L21" s="305">
        <f t="shared" si="2"/>
        <v>-3.4129889662940663E-6</v>
      </c>
    </row>
    <row r="22" spans="1:12">
      <c r="A22" s="2" t="s">
        <v>9</v>
      </c>
      <c r="B22" s="2"/>
      <c r="C22" s="315">
        <v>24000</v>
      </c>
      <c r="D22" s="513">
        <v>24000</v>
      </c>
      <c r="E22" s="513">
        <v>23000</v>
      </c>
      <c r="F22" s="513">
        <v>20000</v>
      </c>
      <c r="G22" s="513">
        <f t="shared" si="1"/>
        <v>4000</v>
      </c>
      <c r="H22" s="513">
        <f>+'Other operating 2'!H13</f>
        <v>24000</v>
      </c>
      <c r="I22" s="513">
        <v>24000</v>
      </c>
      <c r="J22" s="513">
        <f>+'Other operating 2'!J13</f>
        <v>24000</v>
      </c>
      <c r="K22" s="528">
        <f t="shared" si="0"/>
        <v>0</v>
      </c>
      <c r="L22" s="305">
        <f t="shared" si="2"/>
        <v>0</v>
      </c>
    </row>
    <row r="23" spans="1:12">
      <c r="A23" s="2" t="s">
        <v>12</v>
      </c>
      <c r="B23" s="2"/>
      <c r="C23" s="315">
        <v>345</v>
      </c>
      <c r="D23" s="513">
        <v>600</v>
      </c>
      <c r="E23" s="513">
        <v>500</v>
      </c>
      <c r="F23" s="513">
        <v>563</v>
      </c>
      <c r="G23" s="513">
        <f>+H23-F23</f>
        <v>0</v>
      </c>
      <c r="H23" s="513">
        <f>+'Other operating 2'!H15</f>
        <v>563</v>
      </c>
      <c r="I23" s="513">
        <v>450</v>
      </c>
      <c r="J23" s="513">
        <f>+'Other operating 2'!J15</f>
        <v>600</v>
      </c>
      <c r="K23" s="528">
        <f t="shared" si="0"/>
        <v>6.5719360568383664E-2</v>
      </c>
      <c r="L23" s="305">
        <f t="shared" si="2"/>
        <v>1.1673065820316815E-4</v>
      </c>
    </row>
    <row r="24" spans="1:12" ht="15.75" thickBot="1">
      <c r="A24" s="5" t="s">
        <v>13</v>
      </c>
      <c r="B24" s="5"/>
      <c r="C24" s="321">
        <f t="shared" ref="C24:D24" si="3">SUM(C14:C23)</f>
        <v>430360</v>
      </c>
      <c r="D24" s="507">
        <f t="shared" si="3"/>
        <v>423641</v>
      </c>
      <c r="E24" s="507">
        <f t="shared" ref="E24" si="4">SUM(E14:E23)</f>
        <v>419000</v>
      </c>
      <c r="F24" s="507">
        <f t="shared" ref="F24" si="5">SUM(F14:F23)</f>
        <v>387770.07</v>
      </c>
      <c r="G24" s="507">
        <f t="shared" ref="G24" si="6">SUM(G14:G23)</f>
        <v>46921.610775596695</v>
      </c>
      <c r="H24" s="507">
        <f t="shared" ref="H24" si="7">SUM(H14:H23)</f>
        <v>434691.68077559664</v>
      </c>
      <c r="I24" s="507">
        <f t="shared" ref="I24" si="8">SUM(I14:I23)</f>
        <v>429412.12958363967</v>
      </c>
      <c r="J24" s="507">
        <f t="shared" ref="J24" si="9">SUM(J14:J23)</f>
        <v>400527.40680902463</v>
      </c>
    </row>
    <row r="25" spans="1:12" ht="15.75" thickTop="1">
      <c r="A25" s="2"/>
      <c r="B25" s="2"/>
      <c r="C25" s="57"/>
      <c r="D25" s="57"/>
      <c r="E25" s="57"/>
      <c r="F25" s="57"/>
      <c r="G25" s="57"/>
      <c r="H25" s="57"/>
      <c r="I25" s="57"/>
      <c r="J25" s="57"/>
    </row>
    <row r="26" spans="1:12">
      <c r="A26" s="2" t="s">
        <v>14</v>
      </c>
      <c r="B26" s="2"/>
      <c r="C26" s="322">
        <f t="shared" ref="C26" si="10">C11-C24</f>
        <v>-16374</v>
      </c>
      <c r="D26" s="508">
        <f t="shared" ref="D26:J26" si="11">D11-D24</f>
        <v>7409</v>
      </c>
      <c r="E26" s="504">
        <f t="shared" si="11"/>
        <v>11550</v>
      </c>
      <c r="F26" s="504">
        <f t="shared" si="11"/>
        <v>-35670.070000000007</v>
      </c>
      <c r="G26" s="504">
        <f t="shared" si="11"/>
        <v>31129.330024403287</v>
      </c>
      <c r="H26" s="504">
        <f t="shared" si="11"/>
        <v>-4540.7399755966617</v>
      </c>
      <c r="I26" s="504">
        <f t="shared" si="11"/>
        <v>638.87041636032518</v>
      </c>
      <c r="J26" s="509">
        <f t="shared" si="11"/>
        <v>41349.93486297538</v>
      </c>
    </row>
    <row r="27" spans="1:12">
      <c r="A27" s="2"/>
      <c r="B27" s="2"/>
      <c r="C27" s="57"/>
      <c r="D27" s="57"/>
      <c r="E27" s="57"/>
      <c r="F27" s="57"/>
      <c r="G27" s="57"/>
      <c r="H27" s="57"/>
      <c r="I27" s="57"/>
      <c r="J27" s="57"/>
    </row>
    <row r="28" spans="1:12">
      <c r="A28" s="5" t="s">
        <v>360</v>
      </c>
      <c r="B28" s="5"/>
      <c r="C28" s="320">
        <v>1428</v>
      </c>
      <c r="D28" s="504">
        <v>474</v>
      </c>
      <c r="E28" s="504">
        <v>861</v>
      </c>
      <c r="F28" s="504">
        <v>0</v>
      </c>
      <c r="G28" s="504">
        <f>+F28/10*2</f>
        <v>0</v>
      </c>
      <c r="H28" s="504">
        <f>+F28+G28</f>
        <v>0</v>
      </c>
      <c r="I28" s="504">
        <v>900</v>
      </c>
      <c r="J28" s="504">
        <v>900</v>
      </c>
    </row>
    <row r="29" spans="1:12">
      <c r="A29" s="196" t="s">
        <v>383</v>
      </c>
      <c r="B29" s="5"/>
      <c r="C29" s="315">
        <v>0</v>
      </c>
      <c r="D29" s="513">
        <v>153000</v>
      </c>
      <c r="E29" s="513">
        <v>0</v>
      </c>
      <c r="F29" s="513">
        <v>83000</v>
      </c>
      <c r="G29" s="513">
        <v>0</v>
      </c>
      <c r="H29" s="513">
        <f>+F29+G29</f>
        <v>83000</v>
      </c>
      <c r="I29" s="513">
        <v>0</v>
      </c>
      <c r="J29" s="513">
        <v>0</v>
      </c>
    </row>
    <row r="30" spans="1:12">
      <c r="A30" s="196" t="s">
        <v>478</v>
      </c>
      <c r="B30" s="5"/>
      <c r="C30" s="315"/>
      <c r="D30" s="513">
        <v>0</v>
      </c>
      <c r="E30" s="513">
        <v>0</v>
      </c>
      <c r="F30" s="513">
        <v>6581</v>
      </c>
      <c r="G30" s="513">
        <v>0</v>
      </c>
      <c r="H30" s="513">
        <f>+F30+G30</f>
        <v>6581</v>
      </c>
      <c r="I30" s="513">
        <v>0</v>
      </c>
      <c r="J30" s="513">
        <v>0</v>
      </c>
    </row>
    <row r="31" spans="1:12">
      <c r="A31" s="5" t="s">
        <v>363</v>
      </c>
      <c r="B31" s="5"/>
      <c r="C31" s="315">
        <v>0</v>
      </c>
      <c r="D31" s="513">
        <v>0</v>
      </c>
      <c r="E31" s="513">
        <v>0</v>
      </c>
      <c r="F31" s="513">
        <v>0</v>
      </c>
      <c r="G31" s="513">
        <v>0</v>
      </c>
      <c r="H31" s="513">
        <f>+F31+G31</f>
        <v>0</v>
      </c>
      <c r="I31" s="513">
        <v>0</v>
      </c>
      <c r="J31" s="513">
        <v>0</v>
      </c>
    </row>
    <row r="32" spans="1:12" ht="15.75" thickBot="1">
      <c r="A32" s="76" t="s">
        <v>15</v>
      </c>
      <c r="B32" s="76"/>
      <c r="C32" s="316">
        <f>SUM(C26:C31)</f>
        <v>-14946</v>
      </c>
      <c r="D32" s="510">
        <f>SUM(D26:D31)</f>
        <v>160883</v>
      </c>
      <c r="E32" s="510">
        <f t="shared" ref="E32:J32" si="12">SUM(E26:E31)</f>
        <v>12411</v>
      </c>
      <c r="F32" s="510">
        <f t="shared" si="12"/>
        <v>53910.929999999993</v>
      </c>
      <c r="G32" s="510">
        <f t="shared" si="12"/>
        <v>31129.330024403287</v>
      </c>
      <c r="H32" s="510">
        <f t="shared" si="12"/>
        <v>85040.260024403338</v>
      </c>
      <c r="I32" s="510">
        <f t="shared" si="12"/>
        <v>1538.8704163603252</v>
      </c>
      <c r="J32" s="510">
        <f t="shared" si="12"/>
        <v>42249.93486297538</v>
      </c>
    </row>
    <row r="33" spans="1:11" ht="15.75" thickTop="1">
      <c r="C33" s="323"/>
      <c r="D33" s="323"/>
      <c r="E33" s="323"/>
      <c r="F33" s="323"/>
      <c r="G33" s="323"/>
      <c r="H33" s="323"/>
      <c r="I33" s="323"/>
      <c r="J33" s="323"/>
    </row>
    <row r="34" spans="1:11">
      <c r="A34" s="1" t="s">
        <v>59</v>
      </c>
      <c r="C34" s="318">
        <v>59000</v>
      </c>
      <c r="D34" s="505">
        <v>0</v>
      </c>
      <c r="E34" s="505">
        <v>0</v>
      </c>
      <c r="F34" s="505">
        <v>0</v>
      </c>
      <c r="G34" s="505">
        <v>0</v>
      </c>
      <c r="H34" s="505">
        <v>0</v>
      </c>
      <c r="I34" s="505">
        <v>0</v>
      </c>
      <c r="J34" s="505">
        <v>0</v>
      </c>
    </row>
    <row r="35" spans="1:11">
      <c r="A35" s="74" t="s">
        <v>364</v>
      </c>
      <c r="B35" s="74"/>
      <c r="C35" s="325">
        <v>-48500</v>
      </c>
      <c r="D35" s="505">
        <v>-40495</v>
      </c>
      <c r="E35" s="505">
        <v>-7591</v>
      </c>
      <c r="F35" s="505">
        <f>-CAP!C15</f>
        <v>-63000</v>
      </c>
      <c r="G35" s="505">
        <f>+H35-F35</f>
        <v>-7900</v>
      </c>
      <c r="H35" s="505">
        <f>-CAP!F15</f>
        <v>-70900</v>
      </c>
      <c r="I35" s="505">
        <f>-CAP!G15</f>
        <v>0</v>
      </c>
      <c r="J35" s="505">
        <f>+CAP!H15</f>
        <v>0</v>
      </c>
      <c r="K35" s="88"/>
    </row>
    <row r="36" spans="1:11">
      <c r="A36" s="74"/>
      <c r="B36" s="74"/>
      <c r="C36" s="121"/>
      <c r="D36" s="121"/>
      <c r="E36" s="121"/>
      <c r="F36" s="121"/>
      <c r="G36" s="121"/>
      <c r="H36" s="121"/>
      <c r="I36" s="121"/>
      <c r="J36" s="121"/>
      <c r="K36" s="88"/>
    </row>
    <row r="37" spans="1:11" ht="15.75">
      <c r="A37" s="124"/>
      <c r="B37" s="124"/>
      <c r="C37" s="121"/>
      <c r="D37" s="121"/>
      <c r="E37" s="121"/>
      <c r="G37" s="121"/>
      <c r="H37" s="121"/>
      <c r="I37" s="121"/>
      <c r="J37" s="121"/>
      <c r="K37" s="88"/>
    </row>
    <row r="38" spans="1:11">
      <c r="A38" s="74"/>
      <c r="B38" s="74"/>
      <c r="C38" s="121"/>
      <c r="D38" s="121"/>
      <c r="E38" s="121"/>
      <c r="G38" s="121"/>
      <c r="H38" s="121"/>
      <c r="I38" s="121"/>
      <c r="J38" s="121"/>
      <c r="K38" s="88"/>
    </row>
    <row r="39" spans="1:11">
      <c r="A39" s="1" t="s">
        <v>49</v>
      </c>
      <c r="B39" s="74"/>
      <c r="C39" s="74"/>
      <c r="D39" s="74"/>
      <c r="E39" s="74"/>
      <c r="G39" s="74"/>
      <c r="H39" s="74"/>
      <c r="I39" s="74"/>
      <c r="J39" s="74"/>
      <c r="K39" s="88"/>
    </row>
    <row r="40" spans="1:11">
      <c r="A40" s="1" t="s">
        <v>444</v>
      </c>
      <c r="B40" s="74"/>
      <c r="C40" s="121"/>
      <c r="D40" s="121"/>
      <c r="E40" s="121"/>
      <c r="G40" s="121"/>
      <c r="H40" s="121"/>
      <c r="I40" s="121"/>
      <c r="J40" s="121"/>
      <c r="K40" s="88"/>
    </row>
    <row r="41" spans="1:1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88"/>
    </row>
    <row r="42" spans="1:11">
      <c r="A42" s="74"/>
      <c r="K42" s="88"/>
    </row>
    <row r="43" spans="1:11">
      <c r="A43" s="74"/>
      <c r="K43" s="88"/>
    </row>
    <row r="44" spans="1:11">
      <c r="A44" s="74"/>
      <c r="K44" s="88"/>
    </row>
    <row r="45" spans="1:11">
      <c r="A45" s="74"/>
      <c r="K45" s="88"/>
    </row>
    <row r="46" spans="1:11">
      <c r="A46" s="74"/>
      <c r="K46" s="88"/>
    </row>
    <row r="47" spans="1:11">
      <c r="A47" s="74"/>
      <c r="K47" s="88"/>
    </row>
    <row r="48" spans="1:11">
      <c r="A48" s="74"/>
      <c r="K48" s="88"/>
    </row>
    <row r="49" spans="1:11">
      <c r="A49" s="74"/>
      <c r="K49" s="88"/>
    </row>
    <row r="50" spans="1:11">
      <c r="A50" s="596" t="s">
        <v>359</v>
      </c>
      <c r="B50" s="596"/>
      <c r="C50" s="596"/>
      <c r="D50" s="596"/>
      <c r="E50" s="596"/>
      <c r="F50" s="596"/>
      <c r="G50" s="596"/>
      <c r="H50" s="596"/>
      <c r="I50" s="596"/>
      <c r="J50" s="596"/>
      <c r="K50" s="88"/>
    </row>
    <row r="52" spans="1:11">
      <c r="K52" s="88"/>
    </row>
    <row r="55" spans="1:11">
      <c r="C55" s="6"/>
      <c r="D55" s="6"/>
      <c r="E55" s="6"/>
      <c r="H55" s="6"/>
      <c r="I55" s="6"/>
    </row>
    <row r="56" spans="1:11">
      <c r="C56" s="6"/>
      <c r="D56" s="6"/>
      <c r="E56" s="6"/>
      <c r="H56" s="6"/>
      <c r="I56" s="6"/>
    </row>
    <row r="57" spans="1:11">
      <c r="C57" s="6"/>
      <c r="D57" s="6"/>
      <c r="E57" s="6"/>
    </row>
    <row r="58" spans="1:11" ht="18">
      <c r="C58" s="80"/>
      <c r="D58" s="80"/>
      <c r="E58" s="80"/>
    </row>
    <row r="60" spans="1:11">
      <c r="F60" s="121">
        <f>+SUM(F32:F35)</f>
        <v>-9089.070000000007</v>
      </c>
    </row>
    <row r="61" spans="1:11">
      <c r="F61" s="121">
        <f>F60+31069-101596+1000-5000</f>
        <v>-83616.070000000007</v>
      </c>
    </row>
    <row r="62" spans="1:11">
      <c r="F62" s="74">
        <v>-59224</v>
      </c>
    </row>
    <row r="63" spans="1:11">
      <c r="F63" s="121">
        <f>+F61-F62</f>
        <v>-24392.070000000007</v>
      </c>
    </row>
  </sheetData>
  <mergeCells count="4">
    <mergeCell ref="A1:J1"/>
    <mergeCell ref="A2:J2"/>
    <mergeCell ref="A3:J3"/>
    <mergeCell ref="A50:J50"/>
  </mergeCells>
  <phoneticPr fontId="31" type="noConversion"/>
  <dataValidations disablePrompts="1" count="1">
    <dataValidation type="whole" allowBlank="1" showInputMessage="1" showErrorMessage="1" sqref="I31:J31 C31:G31">
      <formula1>-1000000000</formula1>
      <formula2>0</formula2>
    </dataValidation>
  </dataValidations>
  <printOptions horizontalCentered="1"/>
  <pageMargins left="0" right="0" top="0" bottom="0" header="0" footer="0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50"/>
  <sheetViews>
    <sheetView showOutlineSymbols="0" zoomScale="80" zoomScaleNormal="80" workbookViewId="0">
      <selection activeCell="I22" sqref="I22"/>
    </sheetView>
  </sheetViews>
  <sheetFormatPr defaultColWidth="11.44140625" defaultRowHeight="15"/>
  <cols>
    <col min="1" max="1" width="1.109375" style="11" customWidth="1"/>
    <col min="2" max="2" width="5.5546875" style="11" customWidth="1"/>
    <col min="3" max="3" width="18.5546875" style="11" customWidth="1"/>
    <col min="4" max="4" width="14.21875" style="11" customWidth="1"/>
    <col min="5" max="5" width="12.44140625" style="11" customWidth="1"/>
    <col min="6" max="6" width="14.109375" style="11" customWidth="1"/>
    <col min="7" max="7" width="11.77734375" style="11" customWidth="1"/>
    <col min="8" max="8" width="13.109375" style="11" customWidth="1"/>
    <col min="9" max="9" width="13.77734375" style="11" customWidth="1"/>
    <col min="10" max="10" width="3.21875" style="11" customWidth="1"/>
    <col min="11" max="11" width="9.21875" style="11" customWidth="1"/>
    <col min="12" max="12" width="11.6640625" style="11" customWidth="1"/>
    <col min="13" max="13" width="5.6640625" style="11" customWidth="1"/>
    <col min="14" max="16384" width="11.44140625" style="11"/>
  </cols>
  <sheetData>
    <row r="1" spans="2:10" ht="15.75">
      <c r="B1" s="598" t="str">
        <f>+COV!C23</f>
        <v>Sample Ave Condominium</v>
      </c>
      <c r="C1" s="598"/>
      <c r="D1" s="598"/>
      <c r="E1" s="598"/>
      <c r="F1" s="598"/>
      <c r="G1" s="598"/>
      <c r="H1" s="598"/>
      <c r="I1" s="339"/>
      <c r="J1" s="339"/>
    </row>
    <row r="2" spans="2:10" ht="15.75">
      <c r="B2" s="599" t="s">
        <v>3</v>
      </c>
      <c r="C2" s="599"/>
      <c r="D2" s="599"/>
      <c r="E2" s="599"/>
      <c r="F2" s="599"/>
      <c r="G2" s="599"/>
      <c r="H2" s="599"/>
      <c r="I2" s="340"/>
      <c r="J2" s="340"/>
    </row>
    <row r="3" spans="2:10" ht="15.75">
      <c r="B3" s="600" t="str">
        <f>yrlycomp!A3</f>
        <v>For Year Ending 12/31/15</v>
      </c>
      <c r="C3" s="600"/>
      <c r="D3" s="600"/>
      <c r="E3" s="600"/>
      <c r="F3" s="600"/>
      <c r="G3" s="600"/>
      <c r="H3" s="600"/>
      <c r="I3" s="340"/>
      <c r="J3" s="340"/>
    </row>
    <row r="4" spans="2:10" ht="15.75">
      <c r="C4" s="25"/>
      <c r="F4" s="25"/>
    </row>
    <row r="5" spans="2:10" ht="15.75">
      <c r="C5" s="25"/>
      <c r="F5" s="25"/>
    </row>
    <row r="6" spans="2:10" ht="15.75">
      <c r="E6" s="25"/>
    </row>
    <row r="7" spans="2:10" ht="15.75">
      <c r="B7" s="309">
        <v>4001</v>
      </c>
      <c r="C7" s="98" t="s">
        <v>357</v>
      </c>
      <c r="D7" s="128"/>
      <c r="E7" s="61" t="s">
        <v>45</v>
      </c>
      <c r="F7" s="61" t="s">
        <v>46</v>
      </c>
      <c r="G7" s="61" t="s">
        <v>47</v>
      </c>
    </row>
    <row r="8" spans="2:10" ht="15.75" hidden="1">
      <c r="B8" s="309"/>
      <c r="C8" s="345">
        <v>2009</v>
      </c>
      <c r="D8" s="149" t="s">
        <v>437</v>
      </c>
      <c r="E8" s="152">
        <v>37173.51</v>
      </c>
      <c r="F8" s="155">
        <f>+E8*12</f>
        <v>446082.12</v>
      </c>
      <c r="G8" s="148">
        <v>0</v>
      </c>
    </row>
    <row r="9" spans="2:10" ht="15.75" hidden="1">
      <c r="B9" s="309"/>
      <c r="C9" s="345"/>
      <c r="D9" s="129"/>
      <c r="E9" s="152"/>
      <c r="F9" s="155"/>
      <c r="G9" s="148"/>
    </row>
    <row r="10" spans="2:10" ht="15.75" hidden="1">
      <c r="B10" s="309"/>
      <c r="C10" s="149">
        <v>2010</v>
      </c>
      <c r="D10" s="149" t="s">
        <v>438</v>
      </c>
      <c r="E10" s="161">
        <f>+E11/(1+G11)</f>
        <v>37173.510041365917</v>
      </c>
      <c r="F10" s="159">
        <f>+E10*5</f>
        <v>185867.55020682959</v>
      </c>
      <c r="G10" s="148">
        <v>0</v>
      </c>
    </row>
    <row r="11" spans="2:10" ht="15.75" hidden="1">
      <c r="B11" s="309"/>
      <c r="C11" s="149">
        <v>2010</v>
      </c>
      <c r="D11" s="149" t="s">
        <v>439</v>
      </c>
      <c r="E11" s="158">
        <v>34459.21</v>
      </c>
      <c r="F11" s="159">
        <f>+E11*7</f>
        <v>241214.47</v>
      </c>
      <c r="G11" s="154">
        <v>-7.301705E-2</v>
      </c>
    </row>
    <row r="12" spans="2:10" ht="16.5" hidden="1" thickBot="1">
      <c r="B12" s="309"/>
      <c r="C12" s="345" t="s">
        <v>24</v>
      </c>
      <c r="D12" s="149"/>
      <c r="E12" s="156">
        <f>SUM(E10:E11)</f>
        <v>71632.720041365916</v>
      </c>
      <c r="F12" s="156">
        <f>SUM(F10:F11)</f>
        <v>427082.02020682959</v>
      </c>
      <c r="G12" s="151"/>
    </row>
    <row r="13" spans="2:10" ht="16.5" hidden="1" thickTop="1">
      <c r="B13" s="309"/>
      <c r="C13" s="345"/>
      <c r="D13" s="149"/>
      <c r="E13" s="157"/>
      <c r="F13" s="157"/>
      <c r="G13" s="151"/>
    </row>
    <row r="14" spans="2:10" ht="15.75">
      <c r="B14" s="309"/>
      <c r="C14" s="345">
        <v>2011</v>
      </c>
      <c r="D14" s="149" t="s">
        <v>437</v>
      </c>
      <c r="E14" s="336">
        <f>E11</f>
        <v>34459.21</v>
      </c>
      <c r="F14" s="337">
        <f>+E14*12</f>
        <v>413510.52</v>
      </c>
      <c r="G14" s="148">
        <v>0</v>
      </c>
    </row>
    <row r="15" spans="2:10" ht="15.75">
      <c r="B15" s="309"/>
      <c r="C15" s="345"/>
      <c r="D15" s="149"/>
      <c r="E15" s="336"/>
      <c r="F15" s="337"/>
      <c r="G15" s="148"/>
    </row>
    <row r="16" spans="2:10" ht="15.75">
      <c r="B16" s="309"/>
      <c r="C16" s="345">
        <v>2012</v>
      </c>
      <c r="D16" s="149" t="s">
        <v>437</v>
      </c>
      <c r="E16" s="336">
        <f>+E14*G16+E14</f>
        <v>35837.578399999999</v>
      </c>
      <c r="F16" s="337">
        <f>+E16*12</f>
        <v>430050.94079999998</v>
      </c>
      <c r="G16" s="148">
        <v>0.04</v>
      </c>
    </row>
    <row r="17" spans="2:14" ht="15.75">
      <c r="B17" s="309"/>
      <c r="C17" s="345"/>
      <c r="D17" s="149"/>
      <c r="E17" s="336"/>
      <c r="F17" s="337"/>
      <c r="G17" s="148"/>
    </row>
    <row r="18" spans="2:14" ht="15.75">
      <c r="B18" s="309"/>
      <c r="C18" s="345">
        <v>2013</v>
      </c>
      <c r="D18" s="149" t="s">
        <v>437</v>
      </c>
      <c r="E18" s="336">
        <f>+E16*G18+E16</f>
        <v>35837.578399999999</v>
      </c>
      <c r="F18" s="337">
        <f>+E18*12</f>
        <v>430050.94079999998</v>
      </c>
      <c r="G18" s="148">
        <v>0</v>
      </c>
    </row>
    <row r="19" spans="2:14" ht="15.75">
      <c r="B19" s="309"/>
      <c r="C19" s="345"/>
      <c r="D19" s="149"/>
      <c r="E19" s="336"/>
      <c r="F19" s="337"/>
      <c r="G19" s="148"/>
    </row>
    <row r="20" spans="2:14" ht="15.75">
      <c r="B20" s="309"/>
      <c r="C20" s="149">
        <v>2014</v>
      </c>
      <c r="D20" s="149" t="s">
        <v>437</v>
      </c>
      <c r="E20" s="359">
        <f>+E16*G20+E16</f>
        <v>35837.578399999999</v>
      </c>
      <c r="F20" s="360">
        <f>E20*12</f>
        <v>430050.94079999998</v>
      </c>
      <c r="G20" s="361">
        <v>0</v>
      </c>
      <c r="I20" s="12"/>
      <c r="J20" s="153"/>
      <c r="K20" s="12"/>
      <c r="L20" s="12"/>
    </row>
    <row r="21" spans="2:14" ht="15.75">
      <c r="B21" s="309"/>
      <c r="C21" s="345"/>
      <c r="D21" s="149"/>
      <c r="E21" s="336"/>
      <c r="F21" s="337"/>
      <c r="G21" s="148"/>
    </row>
    <row r="22" spans="2:14" ht="15.75">
      <c r="B22" s="309"/>
      <c r="C22" s="310" t="s">
        <v>465</v>
      </c>
      <c r="D22" s="309" t="s">
        <v>437</v>
      </c>
      <c r="E22" s="150">
        <f>+E18*G22+E18</f>
        <v>36823.111806000001</v>
      </c>
      <c r="F22" s="338">
        <f>E22*12</f>
        <v>441877.34167200001</v>
      </c>
      <c r="G22" s="147">
        <v>2.75E-2</v>
      </c>
      <c r="I22" s="12"/>
      <c r="J22" s="153"/>
      <c r="K22" s="12"/>
      <c r="L22" s="12"/>
    </row>
    <row r="23" spans="2:14" ht="15.75">
      <c r="B23" s="309"/>
      <c r="C23" s="130"/>
      <c r="D23" s="308"/>
      <c r="E23" s="139"/>
      <c r="F23" s="150"/>
      <c r="G23" s="150"/>
      <c r="H23" s="150"/>
      <c r="I23" s="150"/>
      <c r="J23" s="147"/>
      <c r="K23" s="12"/>
      <c r="L23" s="12"/>
      <c r="M23" s="12"/>
      <c r="N23" s="12"/>
    </row>
    <row r="24" spans="2:14" ht="15.75">
      <c r="B24" s="309"/>
      <c r="C24" s="130"/>
      <c r="D24" s="308"/>
      <c r="F24" s="150"/>
      <c r="G24" s="150"/>
      <c r="H24" s="150"/>
      <c r="I24" s="150"/>
      <c r="J24" s="147"/>
      <c r="K24" s="12"/>
      <c r="L24" s="12"/>
      <c r="M24" s="12"/>
      <c r="N24" s="12"/>
    </row>
    <row r="25" spans="2:14" ht="15.75">
      <c r="B25" s="117"/>
      <c r="D25" s="131"/>
      <c r="E25" s="75"/>
      <c r="F25" s="78"/>
      <c r="G25" s="75"/>
      <c r="H25" s="75"/>
      <c r="I25" s="128"/>
      <c r="J25" s="12"/>
      <c r="K25" s="12"/>
      <c r="L25" s="12"/>
      <c r="M25" s="12"/>
      <c r="N25" s="12"/>
    </row>
    <row r="26" spans="2:14" ht="15.75">
      <c r="B26" s="309"/>
      <c r="C26" s="98" t="s">
        <v>79</v>
      </c>
      <c r="D26" s="362">
        <f>+yrlycomp!I6</f>
        <v>2014</v>
      </c>
      <c r="E26" s="362">
        <f>+$D$26</f>
        <v>2014</v>
      </c>
      <c r="F26" s="362">
        <f>+$D$26</f>
        <v>2014</v>
      </c>
      <c r="G26" s="362">
        <f>+$D$26</f>
        <v>2014</v>
      </c>
      <c r="H26" s="132">
        <f>+G26+1</f>
        <v>2015</v>
      </c>
    </row>
    <row r="27" spans="2:14" ht="15.75">
      <c r="B27" s="117"/>
      <c r="C27" s="128"/>
      <c r="D27" s="145" t="s">
        <v>421</v>
      </c>
      <c r="E27" s="145" t="s">
        <v>443</v>
      </c>
      <c r="F27" s="145" t="s">
        <v>41</v>
      </c>
      <c r="G27" s="145" t="s">
        <v>2</v>
      </c>
      <c r="H27" s="145" t="s">
        <v>2</v>
      </c>
      <c r="K27" s="12"/>
      <c r="L27" s="12"/>
      <c r="M27" s="12"/>
      <c r="N27" s="12"/>
    </row>
    <row r="28" spans="2:14" ht="15.75">
      <c r="B28" s="117">
        <v>4116</v>
      </c>
      <c r="C28" s="27" t="s">
        <v>56</v>
      </c>
      <c r="D28" s="75">
        <v>0</v>
      </c>
      <c r="E28" s="75">
        <v>0</v>
      </c>
      <c r="F28" s="75">
        <f t="shared" ref="F28:F29" si="0">D28+E28</f>
        <v>0</v>
      </c>
      <c r="G28" s="75">
        <v>0</v>
      </c>
      <c r="H28" s="75">
        <v>0</v>
      </c>
    </row>
    <row r="29" spans="2:14" ht="15.75">
      <c r="B29" s="117">
        <v>4900</v>
      </c>
      <c r="C29" s="27" t="s">
        <v>325</v>
      </c>
      <c r="D29" s="78">
        <v>0</v>
      </c>
      <c r="E29" s="78">
        <v>0</v>
      </c>
      <c r="F29" s="78">
        <f t="shared" si="0"/>
        <v>0</v>
      </c>
      <c r="G29" s="78">
        <v>0</v>
      </c>
      <c r="H29" s="78">
        <v>0</v>
      </c>
    </row>
    <row r="30" spans="2:14" ht="16.5" thickBot="1">
      <c r="B30" s="117"/>
      <c r="D30" s="142">
        <f>SUM(D28:D29)</f>
        <v>0</v>
      </c>
      <c r="E30" s="142">
        <f>SUM(E28:E29)</f>
        <v>0</v>
      </c>
      <c r="F30" s="142">
        <f>SUM(F28:F29)</f>
        <v>0</v>
      </c>
      <c r="G30" s="142">
        <f>SUM(G28:G29)</f>
        <v>0</v>
      </c>
      <c r="H30" s="142">
        <f>SUM(H28:H29)</f>
        <v>0</v>
      </c>
    </row>
    <row r="31" spans="2:14" ht="16.5" thickTop="1">
      <c r="B31" s="117"/>
      <c r="C31" s="1"/>
      <c r="D31" s="1"/>
      <c r="E31" s="1"/>
      <c r="F31" s="1"/>
      <c r="G31" s="1"/>
      <c r="H31" s="1"/>
      <c r="I31" s="1"/>
    </row>
    <row r="32" spans="2:14" ht="15.75">
      <c r="B32" s="117"/>
      <c r="C32" s="1"/>
      <c r="D32" s="1"/>
      <c r="E32" s="1"/>
      <c r="F32" s="1"/>
      <c r="G32" s="1"/>
      <c r="H32" s="1"/>
      <c r="I32" s="1"/>
    </row>
    <row r="33" spans="2:10" ht="15.75">
      <c r="B33" s="117"/>
      <c r="C33" s="136"/>
      <c r="D33" s="138"/>
      <c r="E33" s="13"/>
      <c r="F33" s="137"/>
      <c r="G33" s="13"/>
      <c r="H33" s="13"/>
      <c r="I33" s="13"/>
    </row>
    <row r="34" spans="2:10" ht="15.75">
      <c r="B34" s="117">
        <v>4035</v>
      </c>
      <c r="C34" s="133" t="s">
        <v>59</v>
      </c>
      <c r="D34" s="146"/>
      <c r="E34" s="1"/>
      <c r="F34" s="134" t="s">
        <v>45</v>
      </c>
      <c r="G34" s="134" t="s">
        <v>46</v>
      </c>
    </row>
    <row r="35" spans="2:10" ht="15.75">
      <c r="B35" s="117"/>
      <c r="C35" s="135">
        <v>2011</v>
      </c>
      <c r="D35" s="311" t="s">
        <v>440</v>
      </c>
      <c r="E35" s="312" t="s">
        <v>441</v>
      </c>
      <c r="F35" s="160">
        <f>19666.54</f>
        <v>19666.54</v>
      </c>
      <c r="G35" s="160">
        <f>+F35*3</f>
        <v>58999.62</v>
      </c>
    </row>
    <row r="36" spans="2:10" ht="15.75">
      <c r="B36" s="117"/>
      <c r="C36" s="135">
        <v>2012</v>
      </c>
      <c r="D36" s="311" t="s">
        <v>437</v>
      </c>
      <c r="E36" s="312" t="s">
        <v>442</v>
      </c>
      <c r="F36" s="179">
        <v>0</v>
      </c>
      <c r="G36" s="160">
        <f>+F36*0</f>
        <v>0</v>
      </c>
    </row>
    <row r="37" spans="2:10" ht="15.75">
      <c r="B37" s="117"/>
      <c r="C37" s="135">
        <v>2013</v>
      </c>
      <c r="D37" s="311" t="s">
        <v>437</v>
      </c>
      <c r="E37" s="312" t="s">
        <v>442</v>
      </c>
      <c r="F37" s="179">
        <v>0</v>
      </c>
      <c r="G37" s="160">
        <f t="shared" ref="G37:G39" si="1">+F37*0</f>
        <v>0</v>
      </c>
    </row>
    <row r="38" spans="2:10" ht="15.75">
      <c r="B38" s="117"/>
      <c r="C38" s="135">
        <v>2014</v>
      </c>
      <c r="D38" s="311" t="s">
        <v>437</v>
      </c>
      <c r="E38" s="312" t="s">
        <v>442</v>
      </c>
      <c r="F38" s="179">
        <v>0</v>
      </c>
      <c r="G38" s="363">
        <f t="shared" ref="G38" si="2">+F38*0</f>
        <v>0</v>
      </c>
    </row>
    <row r="39" spans="2:10" ht="15.75">
      <c r="B39" s="117"/>
      <c r="C39" s="136" t="s">
        <v>465</v>
      </c>
      <c r="D39" s="313" t="s">
        <v>437</v>
      </c>
      <c r="E39" s="343" t="s">
        <v>442</v>
      </c>
      <c r="F39" s="13">
        <v>0</v>
      </c>
      <c r="G39" s="314">
        <f t="shared" si="1"/>
        <v>0</v>
      </c>
    </row>
    <row r="40" spans="2:10" ht="15.75">
      <c r="B40" s="309"/>
      <c r="C40" s="139"/>
      <c r="I40" s="1"/>
    </row>
    <row r="41" spans="2:10" ht="15.75">
      <c r="B41" s="309"/>
      <c r="C41" s="139"/>
      <c r="I41" s="1"/>
    </row>
    <row r="42" spans="2:10" ht="15.75">
      <c r="B42" s="309"/>
      <c r="C42" s="139"/>
      <c r="I42" s="1"/>
    </row>
    <row r="43" spans="2:10">
      <c r="J43" s="1"/>
    </row>
    <row r="44" spans="2:10">
      <c r="J44" s="1"/>
    </row>
    <row r="45" spans="2:10">
      <c r="J45" s="1"/>
    </row>
    <row r="50" spans="4:10">
      <c r="D50" s="341"/>
      <c r="E50" s="597" t="s">
        <v>51</v>
      </c>
      <c r="F50" s="597"/>
      <c r="G50" s="341"/>
      <c r="H50" s="341"/>
      <c r="I50" s="341"/>
      <c r="J50" s="341"/>
    </row>
  </sheetData>
  <mergeCells count="4">
    <mergeCell ref="E50:F50"/>
    <mergeCell ref="B1:H1"/>
    <mergeCell ref="B2:H2"/>
    <mergeCell ref="B3:H3"/>
  </mergeCells>
  <phoneticPr fontId="31" type="noConversion"/>
  <printOptions horizontalCentered="1"/>
  <pageMargins left="0" right="0" top="0" bottom="0" header="0" footer="0"/>
  <pageSetup scale="97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70"/>
  <sheetViews>
    <sheetView zoomScale="85" zoomScaleNormal="85" workbookViewId="0">
      <selection activeCell="L6" sqref="L6"/>
    </sheetView>
  </sheetViews>
  <sheetFormatPr defaultRowHeight="15"/>
  <cols>
    <col min="1" max="1" width="23" style="204" customWidth="1"/>
    <col min="2" max="2" width="10.77734375" style="204" customWidth="1"/>
    <col min="3" max="3" width="9.109375" style="204" bestFit="1" customWidth="1"/>
    <col min="4" max="4" width="9.33203125" style="204" customWidth="1"/>
    <col min="5" max="5" width="8" style="204" customWidth="1"/>
    <col min="6" max="6" width="12" style="204" customWidth="1"/>
    <col min="7" max="8" width="11.88671875" style="204" customWidth="1"/>
    <col min="9" max="10" width="11.6640625" style="204" customWidth="1"/>
    <col min="11" max="11" width="11.77734375" style="204" customWidth="1"/>
    <col min="12" max="12" width="10.77734375" style="204" customWidth="1"/>
    <col min="13" max="13" width="10.21875" style="204" customWidth="1"/>
    <col min="14" max="14" width="9.88671875" style="204" bestFit="1" customWidth="1"/>
    <col min="15" max="15" width="12" style="204" bestFit="1" customWidth="1"/>
    <col min="16" max="16384" width="8.88671875" style="204"/>
  </cols>
  <sheetData>
    <row r="1" spans="1:17" ht="15.75">
      <c r="A1" s="197"/>
      <c r="B1" s="197"/>
      <c r="C1" s="197"/>
      <c r="D1" s="197"/>
      <c r="E1" s="198" t="str">
        <f>COV!C23</f>
        <v>Sample Ave Condominium</v>
      </c>
      <c r="F1" s="197"/>
      <c r="G1" s="197"/>
      <c r="H1" s="197"/>
      <c r="I1" s="197"/>
      <c r="J1" s="197"/>
      <c r="K1" s="197"/>
      <c r="L1" s="197"/>
    </row>
    <row r="2" spans="1:17" ht="15.75">
      <c r="B2" s="197"/>
      <c r="C2" s="197"/>
      <c r="D2" s="197"/>
      <c r="E2" s="199" t="s">
        <v>326</v>
      </c>
      <c r="F2" s="197"/>
      <c r="G2" s="197"/>
      <c r="H2" s="197"/>
      <c r="I2" s="197"/>
      <c r="J2" s="197"/>
      <c r="K2" s="197"/>
      <c r="L2" s="197"/>
    </row>
    <row r="3" spans="1:17" ht="15.75">
      <c r="A3" s="200"/>
      <c r="B3" s="197"/>
      <c r="C3" s="197"/>
      <c r="D3" s="197"/>
      <c r="E3" s="201" t="str">
        <f>budget!A3</f>
        <v>For Year Ending 12/31/15</v>
      </c>
      <c r="F3" s="197"/>
      <c r="G3" s="197"/>
      <c r="H3" s="197"/>
      <c r="I3" s="197"/>
      <c r="J3" s="197"/>
      <c r="K3" s="197"/>
      <c r="L3" s="197"/>
    </row>
    <row r="4" spans="1:17">
      <c r="B4" s="197"/>
      <c r="C4" s="197"/>
      <c r="D4" s="197"/>
      <c r="E4" s="197"/>
      <c r="F4" s="202"/>
      <c r="G4" s="202"/>
      <c r="H4" s="197"/>
      <c r="I4" s="202"/>
      <c r="J4" s="197"/>
      <c r="K4" s="197"/>
      <c r="L4" s="197"/>
    </row>
    <row r="5" spans="1:17">
      <c r="A5" s="203" t="s">
        <v>479</v>
      </c>
      <c r="B5" s="197"/>
      <c r="C5" s="197"/>
      <c r="D5" s="197"/>
      <c r="E5" s="197"/>
      <c r="F5" s="197"/>
      <c r="G5" s="197"/>
      <c r="I5" s="205" t="s">
        <v>450</v>
      </c>
      <c r="J5" s="205" t="s">
        <v>384</v>
      </c>
      <c r="K5" s="205" t="s">
        <v>481</v>
      </c>
      <c r="L5" s="476" t="s">
        <v>477</v>
      </c>
      <c r="M5" s="205" t="s">
        <v>24</v>
      </c>
    </row>
    <row r="6" spans="1:17" ht="15.75" thickBot="1">
      <c r="A6" s="206" t="s">
        <v>385</v>
      </c>
      <c r="B6" s="197"/>
      <c r="C6" s="197"/>
      <c r="D6" s="197"/>
      <c r="E6" s="197"/>
      <c r="F6" s="197"/>
      <c r="G6" s="197"/>
      <c r="I6" s="207">
        <v>1</v>
      </c>
      <c r="J6" s="207">
        <v>3</v>
      </c>
      <c r="K6" s="207">
        <v>2</v>
      </c>
      <c r="L6" s="207">
        <v>1</v>
      </c>
      <c r="M6" s="207">
        <f>SUM(I6:L6)</f>
        <v>7</v>
      </c>
    </row>
    <row r="7" spans="1:17" ht="15.75" thickTop="1">
      <c r="A7" s="197" t="s">
        <v>450</v>
      </c>
      <c r="B7" s="208">
        <f>(22.05*1)*40</f>
        <v>882</v>
      </c>
      <c r="C7" s="197" t="s">
        <v>486</v>
      </c>
      <c r="D7" s="197"/>
      <c r="E7" s="209">
        <v>52</v>
      </c>
      <c r="F7" s="197" t="s">
        <v>327</v>
      </c>
      <c r="G7" s="200"/>
      <c r="H7" s="210"/>
      <c r="I7" s="211">
        <f>SUM(B7*E7*$I$6)</f>
        <v>45864</v>
      </c>
      <c r="J7" s="211"/>
      <c r="K7" s="211"/>
      <c r="L7" s="211"/>
      <c r="M7" s="212">
        <f>SUM(I7:L7)</f>
        <v>45864</v>
      </c>
    </row>
    <row r="8" spans="1:17">
      <c r="A8" s="197" t="s">
        <v>386</v>
      </c>
      <c r="B8" s="208">
        <f>(17.82*1)*40</f>
        <v>712.8</v>
      </c>
      <c r="C8" s="197" t="s">
        <v>486</v>
      </c>
      <c r="D8" s="197"/>
      <c r="E8" s="209">
        <v>52</v>
      </c>
      <c r="F8" s="197" t="s">
        <v>327</v>
      </c>
      <c r="G8" s="200"/>
      <c r="I8" s="211"/>
      <c r="J8" s="211">
        <f>SUM(B8*E8*$J$6)</f>
        <v>111196.79999999999</v>
      </c>
      <c r="K8" s="211"/>
      <c r="L8" s="211"/>
      <c r="M8" s="212">
        <f>SUM(I8:L8)</f>
        <v>111196.79999999999</v>
      </c>
    </row>
    <row r="9" spans="1:17">
      <c r="A9" s="197" t="s">
        <v>482</v>
      </c>
      <c r="B9" s="208">
        <f>(17.82*1)*8</f>
        <v>142.56</v>
      </c>
      <c r="C9" s="197" t="s">
        <v>486</v>
      </c>
      <c r="D9" s="197"/>
      <c r="E9" s="209">
        <v>52</v>
      </c>
      <c r="F9" s="197" t="s">
        <v>327</v>
      </c>
      <c r="G9" s="200"/>
      <c r="I9" s="211"/>
      <c r="J9" s="211"/>
      <c r="K9" s="211">
        <f>SUM(B9*E9*$K$6)</f>
        <v>14826.24</v>
      </c>
      <c r="L9" s="211"/>
      <c r="M9" s="212">
        <f>SUM(I9:L9)</f>
        <v>14826.24</v>
      </c>
    </row>
    <row r="10" spans="1:17">
      <c r="A10" s="197" t="s">
        <v>477</v>
      </c>
      <c r="B10" s="208">
        <f>(17.82*1)*40</f>
        <v>712.8</v>
      </c>
      <c r="C10" s="197" t="s">
        <v>486</v>
      </c>
      <c r="D10" s="197"/>
      <c r="E10" s="209">
        <v>5</v>
      </c>
      <c r="F10" s="197" t="s">
        <v>327</v>
      </c>
      <c r="G10" s="200"/>
      <c r="I10" s="211"/>
      <c r="J10" s="211"/>
      <c r="K10" s="211"/>
      <c r="L10" s="211">
        <f>+B10*L6*E10</f>
        <v>3564</v>
      </c>
      <c r="M10" s="212">
        <f>SUM(I10:L10)</f>
        <v>3564</v>
      </c>
    </row>
    <row r="11" spans="1:17">
      <c r="A11" s="197"/>
      <c r="B11" s="208"/>
      <c r="D11" s="197"/>
      <c r="E11" s="197"/>
      <c r="F11" s="197"/>
      <c r="G11" s="213" t="s">
        <v>387</v>
      </c>
      <c r="I11" s="214">
        <f>SUM(I7:I10)</f>
        <v>45864</v>
      </c>
      <c r="J11" s="214">
        <f>SUM(J7:J10)</f>
        <v>111196.79999999999</v>
      </c>
      <c r="K11" s="214">
        <f>SUM(K7:K10)</f>
        <v>14826.24</v>
      </c>
      <c r="L11" s="214">
        <f>SUM(L7:L10)</f>
        <v>3564</v>
      </c>
      <c r="M11" s="214">
        <f>SUM(M7:M10)</f>
        <v>175451.03999999998</v>
      </c>
    </row>
    <row r="12" spans="1:17">
      <c r="A12" s="197"/>
      <c r="B12" s="197"/>
      <c r="C12" s="197"/>
      <c r="D12" s="197"/>
      <c r="E12" s="197"/>
      <c r="F12" s="197"/>
      <c r="G12" s="197"/>
      <c r="I12" s="215"/>
      <c r="J12" s="215"/>
      <c r="K12" s="215"/>
      <c r="L12" s="215"/>
      <c r="M12" s="215"/>
    </row>
    <row r="13" spans="1:17">
      <c r="A13" s="216" t="s">
        <v>483</v>
      </c>
      <c r="C13" s="197"/>
      <c r="D13" s="197"/>
      <c r="E13" s="197"/>
      <c r="I13" s="215"/>
      <c r="J13" s="215"/>
      <c r="K13" s="215"/>
      <c r="L13" s="215"/>
      <c r="M13" s="215"/>
    </row>
    <row r="14" spans="1:17" ht="15.75">
      <c r="A14" s="216" t="s">
        <v>484</v>
      </c>
      <c r="C14" s="197"/>
      <c r="D14" s="197"/>
      <c r="E14" s="197"/>
      <c r="G14" s="353">
        <f>60/52</f>
        <v>1.1538461538461537</v>
      </c>
      <c r="I14" s="212">
        <f>I11*$G$14</f>
        <v>52919.999999999993</v>
      </c>
      <c r="J14" s="212">
        <f>J11*$G$14</f>
        <v>128303.99999999997</v>
      </c>
      <c r="K14" s="212">
        <f>500+K11</f>
        <v>15326.24</v>
      </c>
      <c r="L14" s="212">
        <f>+L11</f>
        <v>3564</v>
      </c>
      <c r="M14" s="542">
        <f>SUM(I14:L14)</f>
        <v>200114.23999999996</v>
      </c>
      <c r="P14" s="204">
        <v>561.4</v>
      </c>
      <c r="Q14" s="476" t="s">
        <v>395</v>
      </c>
    </row>
    <row r="15" spans="1:17">
      <c r="A15" s="197"/>
      <c r="B15" s="197"/>
      <c r="C15" s="197"/>
      <c r="D15" s="197"/>
      <c r="E15" s="197"/>
      <c r="F15" s="197"/>
      <c r="G15" s="197"/>
      <c r="I15" s="215"/>
      <c r="J15" s="215"/>
      <c r="K15" s="215"/>
      <c r="L15" s="215"/>
      <c r="M15" s="542"/>
    </row>
    <row r="16" spans="1:17">
      <c r="B16" s="218" t="s">
        <v>436</v>
      </c>
      <c r="I16" s="212">
        <f>+B7*2</f>
        <v>1764</v>
      </c>
      <c r="J16" s="212">
        <f>+B8*8</f>
        <v>5702.4</v>
      </c>
      <c r="K16" s="212">
        <f>+B9</f>
        <v>142.56</v>
      </c>
      <c r="L16" s="212">
        <v>0</v>
      </c>
      <c r="M16" s="542">
        <f>SUM(I16:L16)</f>
        <v>7608.96</v>
      </c>
    </row>
    <row r="17" spans="1:16" ht="15.75">
      <c r="A17" s="219"/>
      <c r="B17" s="220"/>
      <c r="C17" s="197"/>
      <c r="D17" s="197"/>
      <c r="E17" s="197"/>
      <c r="F17" s="202"/>
      <c r="G17" s="202"/>
      <c r="I17" s="212"/>
      <c r="J17" s="212"/>
      <c r="K17" s="212"/>
      <c r="L17" s="212"/>
      <c r="M17" s="542"/>
      <c r="O17" s="204">
        <f>+SUM(K11:L11)</f>
        <v>18390.239999999998</v>
      </c>
    </row>
    <row r="18" spans="1:16" ht="15.75">
      <c r="B18" s="220"/>
      <c r="D18" s="197"/>
      <c r="E18" s="197"/>
      <c r="G18" s="221" t="s">
        <v>329</v>
      </c>
      <c r="I18" s="222">
        <f>SUM(I14:I17)</f>
        <v>54683.999999999993</v>
      </c>
      <c r="J18" s="222">
        <f>SUM(J14:J17)</f>
        <v>134006.39999999997</v>
      </c>
      <c r="K18" s="222">
        <f>SUM(K14:K17)</f>
        <v>15468.8</v>
      </c>
      <c r="L18" s="222">
        <f>SUM(L14:L17)</f>
        <v>3564</v>
      </c>
      <c r="M18" s="544">
        <f>SUM(M14:M17)-10977</f>
        <v>196746.19999999995</v>
      </c>
      <c r="N18" s="204">
        <f>+SUM(I18:L18)</f>
        <v>207723.19999999995</v>
      </c>
      <c r="O18" s="204">
        <f>+N18-M18</f>
        <v>10977</v>
      </c>
    </row>
    <row r="19" spans="1:16">
      <c r="A19" s="197"/>
      <c r="B19" s="197"/>
      <c r="C19" s="197"/>
      <c r="D19" s="197"/>
      <c r="E19" s="197"/>
      <c r="F19" s="197"/>
      <c r="G19" s="197"/>
      <c r="H19" s="215"/>
      <c r="I19" s="215"/>
      <c r="J19" s="215"/>
      <c r="K19" s="215"/>
      <c r="L19" s="215"/>
    </row>
    <row r="20" spans="1:16">
      <c r="A20" s="197" t="s">
        <v>330</v>
      </c>
      <c r="B20" s="197"/>
      <c r="C20" s="197"/>
      <c r="D20" s="197"/>
      <c r="E20" s="197"/>
      <c r="F20" s="197"/>
      <c r="G20" s="197"/>
      <c r="I20" s="215"/>
      <c r="J20" s="215"/>
      <c r="K20" s="215"/>
      <c r="L20" s="215"/>
      <c r="M20" s="215"/>
    </row>
    <row r="21" spans="1:16">
      <c r="A21" s="216" t="s">
        <v>331</v>
      </c>
      <c r="B21" s="216"/>
      <c r="C21" s="217">
        <v>7.6499999999999999E-2</v>
      </c>
      <c r="D21" s="197"/>
      <c r="E21" s="197"/>
      <c r="F21" s="197"/>
      <c r="G21" s="197"/>
      <c r="I21" s="212">
        <f>I18*$C$21</f>
        <v>4183.3259999999991</v>
      </c>
      <c r="J21" s="212">
        <f t="shared" ref="J21:L21" si="0">J18*$C$21</f>
        <v>10251.489599999997</v>
      </c>
      <c r="K21" s="212">
        <f t="shared" ref="K21" si="1">K18*$C$21</f>
        <v>1183.3632</v>
      </c>
      <c r="L21" s="212">
        <f t="shared" si="0"/>
        <v>272.64600000000002</v>
      </c>
      <c r="M21" s="542">
        <f t="shared" ref="M21:M27" si="2">SUM(I21:L21)</f>
        <v>15890.824799999997</v>
      </c>
    </row>
    <row r="22" spans="1:16">
      <c r="A22" s="197" t="s">
        <v>332</v>
      </c>
      <c r="B22" s="217">
        <v>2.1000000000000001E-2</v>
      </c>
      <c r="C22" s="223" t="s">
        <v>333</v>
      </c>
      <c r="D22" s="197"/>
      <c r="E22" s="212">
        <v>10300</v>
      </c>
      <c r="F22" s="197"/>
      <c r="G22" s="197"/>
      <c r="I22" s="215">
        <f>$E$22*$B$22*I6</f>
        <v>216.3</v>
      </c>
      <c r="J22" s="215">
        <f t="shared" ref="J22:L22" si="3">$E$22*$B$22*J6</f>
        <v>648.90000000000009</v>
      </c>
      <c r="K22" s="215">
        <f t="shared" ref="K22" si="4">$E$22*$B$22*K6</f>
        <v>432.6</v>
      </c>
      <c r="L22" s="215">
        <f t="shared" si="3"/>
        <v>216.3</v>
      </c>
      <c r="M22" s="542">
        <f t="shared" si="2"/>
        <v>1514.1000000000001</v>
      </c>
    </row>
    <row r="23" spans="1:16">
      <c r="A23" s="197" t="s">
        <v>334</v>
      </c>
      <c r="B23" s="217">
        <v>1.4999999999999999E-2</v>
      </c>
      <c r="C23" s="223" t="s">
        <v>333</v>
      </c>
      <c r="D23" s="197"/>
      <c r="E23" s="212">
        <v>7000</v>
      </c>
      <c r="F23" s="197"/>
      <c r="G23" s="197"/>
      <c r="I23" s="215">
        <f>$E$23*$B$23*I6</f>
        <v>105</v>
      </c>
      <c r="J23" s="215">
        <f t="shared" ref="J23:L23" si="5">$E$23*$B$23*J6</f>
        <v>315</v>
      </c>
      <c r="K23" s="215">
        <f t="shared" ref="K23" si="6">$E$23*$B$23*K6</f>
        <v>210</v>
      </c>
      <c r="L23" s="215">
        <f t="shared" si="5"/>
        <v>105</v>
      </c>
      <c r="M23" s="542">
        <f t="shared" si="2"/>
        <v>735</v>
      </c>
      <c r="O23" s="204" t="s">
        <v>390</v>
      </c>
    </row>
    <row r="24" spans="1:16">
      <c r="A24" s="197" t="s">
        <v>409</v>
      </c>
      <c r="B24" s="225">
        <v>7094.4</v>
      </c>
      <c r="C24" s="197" t="s">
        <v>485</v>
      </c>
      <c r="D24" s="197"/>
      <c r="E24" s="209">
        <v>12</v>
      </c>
      <c r="F24" s="197" t="s">
        <v>408</v>
      </c>
      <c r="G24" s="224"/>
      <c r="I24" s="215">
        <v>0</v>
      </c>
      <c r="J24" s="215">
        <v>0</v>
      </c>
      <c r="K24" s="215">
        <v>0</v>
      </c>
      <c r="L24" s="215">
        <v>0</v>
      </c>
      <c r="M24" s="542">
        <f>+B24</f>
        <v>7094.4</v>
      </c>
      <c r="O24" s="204">
        <v>7362</v>
      </c>
      <c r="P24" s="477">
        <f>(O25-O24)/O24</f>
        <v>0.14588427057864711</v>
      </c>
    </row>
    <row r="25" spans="1:16">
      <c r="A25" s="197" t="s">
        <v>335</v>
      </c>
      <c r="B25" s="197"/>
      <c r="C25" s="225">
        <v>45</v>
      </c>
      <c r="D25" s="197" t="s">
        <v>336</v>
      </c>
      <c r="E25" s="197"/>
      <c r="F25" s="197"/>
      <c r="G25" s="197"/>
      <c r="I25" s="215">
        <f>$C$25*I6</f>
        <v>45</v>
      </c>
      <c r="J25" s="215">
        <f t="shared" ref="J25:L25" si="7">$C$25*J6</f>
        <v>135</v>
      </c>
      <c r="K25" s="215">
        <f t="shared" ref="K25" si="8">$C$25*K6</f>
        <v>90</v>
      </c>
      <c r="L25" s="215">
        <f t="shared" si="7"/>
        <v>45</v>
      </c>
      <c r="M25" s="542">
        <f t="shared" si="2"/>
        <v>315</v>
      </c>
      <c r="O25" s="204">
        <v>8436</v>
      </c>
      <c r="P25" s="477">
        <f t="shared" ref="P25" si="9">(O27-O25)/O25</f>
        <v>0.12731152204836416</v>
      </c>
    </row>
    <row r="26" spans="1:16">
      <c r="A26" s="197" t="s">
        <v>337</v>
      </c>
      <c r="B26" s="226">
        <v>6.5000000000000002E-2</v>
      </c>
      <c r="C26" s="197" t="s">
        <v>338</v>
      </c>
      <c r="D26" s="197"/>
      <c r="E26" s="197"/>
      <c r="F26" s="197"/>
      <c r="G26" s="197"/>
      <c r="I26" s="215">
        <f>I18*$B$26</f>
        <v>3554.4599999999996</v>
      </c>
      <c r="J26" s="215">
        <f t="shared" ref="J26:L26" si="10">J18*$B$26</f>
        <v>8710.4159999999974</v>
      </c>
      <c r="K26" s="215">
        <f t="shared" ref="K26" si="11">K18*$B$26</f>
        <v>1005.472</v>
      </c>
      <c r="L26" s="215">
        <f t="shared" si="10"/>
        <v>231.66</v>
      </c>
      <c r="M26" s="542">
        <f t="shared" si="2"/>
        <v>13502.007999999996</v>
      </c>
      <c r="P26" s="477"/>
    </row>
    <row r="27" spans="1:16">
      <c r="A27" s="197" t="s">
        <v>480</v>
      </c>
      <c r="B27" s="208">
        <v>500.49</v>
      </c>
      <c r="C27" s="197" t="s">
        <v>449</v>
      </c>
      <c r="D27" s="197"/>
      <c r="E27" s="209">
        <v>12</v>
      </c>
      <c r="F27" s="197" t="s">
        <v>408</v>
      </c>
      <c r="G27" s="197"/>
      <c r="I27" s="215">
        <f>+B27*E27</f>
        <v>6005.88</v>
      </c>
      <c r="J27" s="215">
        <v>0</v>
      </c>
      <c r="K27" s="215">
        <v>0</v>
      </c>
      <c r="L27" s="215">
        <v>0</v>
      </c>
      <c r="M27" s="542">
        <f t="shared" si="2"/>
        <v>6005.88</v>
      </c>
      <c r="O27" s="204">
        <v>9510</v>
      </c>
      <c r="P27" s="477"/>
    </row>
    <row r="28" spans="1:16">
      <c r="A28" s="227"/>
      <c r="B28" s="197" t="s">
        <v>388</v>
      </c>
      <c r="C28" s="197"/>
      <c r="D28" s="197"/>
      <c r="E28" s="197"/>
      <c r="F28" s="197"/>
      <c r="G28" s="197"/>
      <c r="I28" s="228">
        <f t="shared" ref="I28:L28" si="12">SUM(I21:I27)</f>
        <v>14109.966</v>
      </c>
      <c r="J28" s="228">
        <f t="shared" si="12"/>
        <v>20060.805599999992</v>
      </c>
      <c r="K28" s="228">
        <f t="shared" ref="K28" si="13">SUM(K21:K27)</f>
        <v>2921.4351999999999</v>
      </c>
      <c r="L28" s="228">
        <f t="shared" si="12"/>
        <v>870.60599999999999</v>
      </c>
      <c r="M28" s="228">
        <f>SUM(M21:M27)</f>
        <v>45057.212799999987</v>
      </c>
      <c r="P28" s="477"/>
    </row>
    <row r="29" spans="1:16">
      <c r="A29" s="197"/>
      <c r="B29" s="226"/>
      <c r="C29" s="197"/>
      <c r="D29" s="197"/>
      <c r="E29" s="197"/>
      <c r="F29" s="197"/>
      <c r="G29" s="197"/>
      <c r="I29" s="215"/>
      <c r="J29" s="215"/>
      <c r="K29" s="215"/>
      <c r="L29" s="215"/>
      <c r="M29" s="212"/>
      <c r="N29" s="478"/>
      <c r="P29" s="204">
        <f>O27*AVERAGE(P24:P25)+O27</f>
        <v>10809.04599394144</v>
      </c>
    </row>
    <row r="30" spans="1:16" ht="15.75" thickBot="1">
      <c r="A30" s="197"/>
      <c r="B30" s="197" t="s">
        <v>339</v>
      </c>
      <c r="C30" s="197"/>
      <c r="D30" s="197"/>
      <c r="E30" s="197"/>
      <c r="F30" s="197"/>
      <c r="G30" s="197"/>
      <c r="I30" s="229">
        <f>+I18+I28</f>
        <v>68793.965999999986</v>
      </c>
      <c r="J30" s="229">
        <f>+J18+J28</f>
        <v>154067.20559999996</v>
      </c>
      <c r="K30" s="229">
        <f>+K18+K28</f>
        <v>18390.235199999999</v>
      </c>
      <c r="L30" s="229">
        <f>+L18+L28</f>
        <v>4434.6059999999998</v>
      </c>
      <c r="M30" s="229">
        <f>+M18+M28</f>
        <v>241803.41279999993</v>
      </c>
      <c r="N30" s="230"/>
    </row>
    <row r="31" spans="1:16" ht="15.75" thickTop="1">
      <c r="A31" s="224" t="s">
        <v>340</v>
      </c>
      <c r="B31" s="197"/>
      <c r="C31" s="197"/>
      <c r="D31" s="197"/>
      <c r="E31" s="197"/>
      <c r="F31" s="197"/>
      <c r="G31" s="197"/>
      <c r="I31" s="212">
        <f>I30/I6</f>
        <v>68793.965999999986</v>
      </c>
      <c r="J31" s="212">
        <f>J30/J6</f>
        <v>51355.735199999988</v>
      </c>
      <c r="K31" s="212">
        <f>K30/K6</f>
        <v>9195.1175999999996</v>
      </c>
      <c r="L31" s="212">
        <f>L30/L6</f>
        <v>4434.6059999999998</v>
      </c>
      <c r="M31" s="212"/>
      <c r="O31" s="478"/>
    </row>
    <row r="32" spans="1:16">
      <c r="A32" s="224"/>
      <c r="B32" s="197"/>
      <c r="C32" s="197"/>
      <c r="D32" s="197"/>
      <c r="E32" s="197"/>
      <c r="F32" s="197"/>
      <c r="G32" s="197"/>
      <c r="H32" s="212"/>
      <c r="I32" s="212"/>
      <c r="J32" s="231"/>
      <c r="K32" s="212"/>
      <c r="L32" s="212"/>
      <c r="M32" s="212"/>
      <c r="O32" s="478"/>
      <c r="P32" s="204">
        <f>K36</f>
        <v>241803.41279999993</v>
      </c>
    </row>
    <row r="33" spans="1:16">
      <c r="A33" s="224"/>
      <c r="C33" s="197"/>
      <c r="D33" s="232" t="s">
        <v>356</v>
      </c>
      <c r="E33" s="233"/>
      <c r="F33" s="234"/>
      <c r="G33" s="357">
        <f>+yrlycomp!F6</f>
        <v>2014</v>
      </c>
      <c r="H33" s="357">
        <f>+$G$33</f>
        <v>2014</v>
      </c>
      <c r="I33" s="357">
        <f>+$G$33</f>
        <v>2014</v>
      </c>
      <c r="J33" s="357">
        <f>+$G$33</f>
        <v>2014</v>
      </c>
      <c r="K33" s="358">
        <f>+J33+1</f>
        <v>2015</v>
      </c>
      <c r="O33" s="478"/>
    </row>
    <row r="34" spans="1:16">
      <c r="A34" s="235"/>
      <c r="B34" s="236"/>
      <c r="C34" s="236"/>
      <c r="D34" s="237"/>
      <c r="E34" s="238"/>
      <c r="F34" s="99"/>
      <c r="G34" s="239" t="s">
        <v>322</v>
      </c>
      <c r="H34" s="239" t="s">
        <v>323</v>
      </c>
      <c r="I34" s="239" t="s">
        <v>41</v>
      </c>
      <c r="J34" s="240" t="s">
        <v>2</v>
      </c>
      <c r="K34" s="240" t="s">
        <v>2</v>
      </c>
      <c r="N34" s="204">
        <f>192560+(561.4*9)</f>
        <v>197612.6</v>
      </c>
      <c r="O34" s="478">
        <f>(N34/10)*2</f>
        <v>39522.520000000004</v>
      </c>
      <c r="P34" s="204">
        <f>N34+O34+7039</f>
        <v>244174.12</v>
      </c>
    </row>
    <row r="35" spans="1:16">
      <c r="A35" s="235"/>
      <c r="B35" s="236"/>
      <c r="C35" s="241"/>
      <c r="D35" s="237"/>
      <c r="E35" s="242"/>
      <c r="F35" s="99"/>
      <c r="G35" s="243" t="s">
        <v>27</v>
      </c>
      <c r="H35" s="243" t="s">
        <v>419</v>
      </c>
      <c r="I35" s="243"/>
      <c r="J35" s="244"/>
      <c r="K35" s="244"/>
      <c r="N35" s="479">
        <f>(K36-I36)/I36</f>
        <v>-0.10174471598799852</v>
      </c>
      <c r="O35" s="478"/>
    </row>
    <row r="36" spans="1:16">
      <c r="A36" s="235"/>
      <c r="B36" s="236"/>
      <c r="C36" s="241"/>
      <c r="D36" s="245"/>
      <c r="E36" s="246"/>
      <c r="F36" s="231"/>
      <c r="G36" s="247">
        <f>+yrlycomp!F14</f>
        <v>233300</v>
      </c>
      <c r="H36" s="248">
        <f>+G36/52*8</f>
        <v>35892.307692307695</v>
      </c>
      <c r="I36" s="248">
        <f>G36+H36</f>
        <v>269192.30769230769</v>
      </c>
      <c r="J36" s="248">
        <v>261550</v>
      </c>
      <c r="K36" s="248">
        <f>+M30</f>
        <v>241803.41279999993</v>
      </c>
      <c r="N36" s="478">
        <v>282161</v>
      </c>
      <c r="P36" s="480">
        <f>(P32-P34)/P34</f>
        <v>-9.7090846482832116E-3</v>
      </c>
    </row>
    <row r="37" spans="1:16">
      <c r="A37" s="235"/>
      <c r="B37" s="236"/>
      <c r="C37" s="241"/>
      <c r="D37" s="236"/>
      <c r="E37" s="249"/>
      <c r="F37" s="236"/>
      <c r="G37" s="236"/>
      <c r="H37" s="99"/>
      <c r="I37" s="99"/>
      <c r="J37" s="99"/>
      <c r="K37" s="250"/>
      <c r="N37" s="212"/>
      <c r="O37" s="480"/>
    </row>
    <row r="38" spans="1:16">
      <c r="A38" s="224"/>
      <c r="B38" s="197"/>
      <c r="C38" s="197"/>
      <c r="D38" s="197"/>
      <c r="E38" s="197"/>
      <c r="G38" s="197"/>
      <c r="H38" s="212"/>
      <c r="I38" s="212" t="s">
        <v>18</v>
      </c>
      <c r="J38" s="212" t="s">
        <v>18</v>
      </c>
      <c r="K38" s="212"/>
      <c r="L38" s="212"/>
    </row>
    <row r="39" spans="1:16">
      <c r="A39" s="197"/>
      <c r="B39" s="197"/>
      <c r="C39" s="197"/>
      <c r="D39" s="197"/>
      <c r="F39" s="197" t="s">
        <v>52</v>
      </c>
      <c r="G39" s="197" t="s">
        <v>18</v>
      </c>
      <c r="H39" s="197"/>
      <c r="I39" s="197"/>
      <c r="J39" s="197" t="s">
        <v>18</v>
      </c>
      <c r="K39" s="197"/>
      <c r="L39" s="197"/>
      <c r="M39" s="197"/>
    </row>
    <row r="40" spans="1:16">
      <c r="J40" s="210" t="s">
        <v>18</v>
      </c>
    </row>
    <row r="41" spans="1:16">
      <c r="J41" s="210" t="s">
        <v>18</v>
      </c>
    </row>
    <row r="42" spans="1:16" ht="15.75">
      <c r="A42" s="481" t="s">
        <v>341</v>
      </c>
      <c r="J42" s="210" t="s">
        <v>18</v>
      </c>
      <c r="K42" s="210" t="s">
        <v>18</v>
      </c>
    </row>
    <row r="43" spans="1:16">
      <c r="A43" s="482" t="s">
        <v>342</v>
      </c>
      <c r="B43" s="140">
        <v>4</v>
      </c>
      <c r="C43" s="140">
        <v>4</v>
      </c>
      <c r="D43" s="140">
        <v>4</v>
      </c>
      <c r="E43" s="140">
        <v>5</v>
      </c>
      <c r="F43" s="140">
        <v>4</v>
      </c>
      <c r="G43" s="140">
        <v>4</v>
      </c>
      <c r="H43" s="140">
        <v>5</v>
      </c>
      <c r="I43" s="140">
        <v>4</v>
      </c>
      <c r="J43" s="140">
        <v>4</v>
      </c>
      <c r="K43" s="140">
        <v>5</v>
      </c>
      <c r="L43" s="140">
        <v>4</v>
      </c>
      <c r="M43" s="140">
        <v>5</v>
      </c>
      <c r="N43" s="483">
        <f>SUM(B43:M43)</f>
        <v>52</v>
      </c>
    </row>
    <row r="44" spans="1:16">
      <c r="B44" s="141" t="s">
        <v>82</v>
      </c>
      <c r="C44" s="141" t="s">
        <v>83</v>
      </c>
      <c r="D44" s="141" t="s">
        <v>84</v>
      </c>
      <c r="E44" s="141" t="s">
        <v>85</v>
      </c>
      <c r="F44" s="141" t="s">
        <v>86</v>
      </c>
      <c r="G44" s="141" t="s">
        <v>87</v>
      </c>
      <c r="H44" s="141" t="s">
        <v>88</v>
      </c>
      <c r="I44" s="141" t="s">
        <v>89</v>
      </c>
      <c r="J44" s="141" t="s">
        <v>90</v>
      </c>
      <c r="K44" s="141" t="s">
        <v>91</v>
      </c>
      <c r="L44" s="141" t="s">
        <v>92</v>
      </c>
      <c r="M44" s="141" t="s">
        <v>93</v>
      </c>
      <c r="N44" s="484" t="s">
        <v>81</v>
      </c>
    </row>
    <row r="45" spans="1:16">
      <c r="A45" s="204" t="s">
        <v>343</v>
      </c>
      <c r="B45" s="485">
        <f>($M$18-$M$16)/52*B43</f>
        <v>14549.018461538459</v>
      </c>
      <c r="C45" s="485">
        <f t="shared" ref="C45:M45" si="14">($M$18-$M$16)/52*C43</f>
        <v>14549.018461538459</v>
      </c>
      <c r="D45" s="485">
        <f t="shared" si="14"/>
        <v>14549.018461538459</v>
      </c>
      <c r="E45" s="485">
        <f t="shared" si="14"/>
        <v>18186.273076923073</v>
      </c>
      <c r="F45" s="485">
        <f t="shared" si="14"/>
        <v>14549.018461538459</v>
      </c>
      <c r="G45" s="485">
        <f t="shared" si="14"/>
        <v>14549.018461538459</v>
      </c>
      <c r="H45" s="485">
        <f t="shared" si="14"/>
        <v>18186.273076923073</v>
      </c>
      <c r="I45" s="485">
        <f t="shared" si="14"/>
        <v>14549.018461538459</v>
      </c>
      <c r="J45" s="485">
        <f t="shared" si="14"/>
        <v>14549.018461538459</v>
      </c>
      <c r="K45" s="485">
        <f t="shared" si="14"/>
        <v>18186.273076923073</v>
      </c>
      <c r="L45" s="485">
        <f t="shared" si="14"/>
        <v>14549.018461538459</v>
      </c>
      <c r="M45" s="485">
        <f t="shared" si="14"/>
        <v>18186.273076923073</v>
      </c>
      <c r="N45" s="543">
        <f>SUM(B45:M45)</f>
        <v>189137.23999999996</v>
      </c>
    </row>
    <row r="46" spans="1:16">
      <c r="A46" s="486" t="s">
        <v>328</v>
      </c>
      <c r="B46" s="487"/>
      <c r="C46" s="488"/>
      <c r="D46" s="487"/>
      <c r="E46" s="487"/>
      <c r="F46" s="487"/>
      <c r="G46" s="487"/>
      <c r="H46" s="487"/>
      <c r="I46" s="487"/>
      <c r="J46" s="487"/>
      <c r="K46" s="487"/>
      <c r="L46" s="487"/>
      <c r="M46" s="485">
        <f>M16</f>
        <v>7608.96</v>
      </c>
      <c r="N46" s="543">
        <f>SUM(B46:M46)</f>
        <v>7608.96</v>
      </c>
    </row>
    <row r="47" spans="1:16">
      <c r="A47" s="489" t="s">
        <v>344</v>
      </c>
      <c r="B47" s="490">
        <f t="shared" ref="B47:N47" si="15">SUM(B45:B46)</f>
        <v>14549.018461538459</v>
      </c>
      <c r="C47" s="490">
        <f t="shared" si="15"/>
        <v>14549.018461538459</v>
      </c>
      <c r="D47" s="490">
        <f t="shared" si="15"/>
        <v>14549.018461538459</v>
      </c>
      <c r="E47" s="490">
        <f t="shared" si="15"/>
        <v>18186.273076923073</v>
      </c>
      <c r="F47" s="490">
        <f t="shared" si="15"/>
        <v>14549.018461538459</v>
      </c>
      <c r="G47" s="490">
        <f t="shared" si="15"/>
        <v>14549.018461538459</v>
      </c>
      <c r="H47" s="490">
        <f t="shared" si="15"/>
        <v>18186.273076923073</v>
      </c>
      <c r="I47" s="490">
        <f t="shared" si="15"/>
        <v>14549.018461538459</v>
      </c>
      <c r="J47" s="490">
        <f t="shared" si="15"/>
        <v>14549.018461538459</v>
      </c>
      <c r="K47" s="490">
        <f t="shared" si="15"/>
        <v>18186.273076923073</v>
      </c>
      <c r="L47" s="490">
        <f t="shared" si="15"/>
        <v>14549.018461538459</v>
      </c>
      <c r="M47" s="490">
        <f t="shared" si="15"/>
        <v>25795.233076923072</v>
      </c>
      <c r="N47" s="545">
        <f t="shared" si="15"/>
        <v>196746.19999999995</v>
      </c>
      <c r="O47" s="491" t="s">
        <v>304</v>
      </c>
    </row>
    <row r="48" spans="1:16">
      <c r="A48" s="486"/>
      <c r="B48" s="492"/>
      <c r="C48" s="492"/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76"/>
    </row>
    <row r="49" spans="1:15">
      <c r="A49" s="486"/>
      <c r="B49" s="492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</row>
    <row r="50" spans="1:15">
      <c r="A50" s="251" t="s">
        <v>345</v>
      </c>
      <c r="B50" s="252">
        <f>+$M$21/52*B$43</f>
        <v>1222.3711384615383</v>
      </c>
      <c r="C50" s="252">
        <f t="shared" ref="C50:M50" si="16">+$M$21/52*C$43</f>
        <v>1222.3711384615383</v>
      </c>
      <c r="D50" s="252">
        <f t="shared" si="16"/>
        <v>1222.3711384615383</v>
      </c>
      <c r="E50" s="252">
        <f t="shared" si="16"/>
        <v>1527.9639230769228</v>
      </c>
      <c r="F50" s="252">
        <f t="shared" si="16"/>
        <v>1222.3711384615383</v>
      </c>
      <c r="G50" s="252">
        <f t="shared" si="16"/>
        <v>1222.3711384615383</v>
      </c>
      <c r="H50" s="252">
        <f t="shared" si="16"/>
        <v>1527.9639230769228</v>
      </c>
      <c r="I50" s="252">
        <f t="shared" si="16"/>
        <v>1222.3711384615383</v>
      </c>
      <c r="J50" s="252">
        <f t="shared" si="16"/>
        <v>1222.3711384615383</v>
      </c>
      <c r="K50" s="252">
        <f t="shared" si="16"/>
        <v>1527.9639230769228</v>
      </c>
      <c r="L50" s="252">
        <f t="shared" si="16"/>
        <v>1222.3711384615383</v>
      </c>
      <c r="M50" s="252">
        <f t="shared" si="16"/>
        <v>1527.9639230769228</v>
      </c>
      <c r="N50" s="485">
        <f>SUM(B50:M50)</f>
        <v>15890.824799999997</v>
      </c>
    </row>
    <row r="51" spans="1:15">
      <c r="A51" s="251" t="s">
        <v>332</v>
      </c>
      <c r="B51" s="252">
        <f>M22</f>
        <v>1514.1000000000001</v>
      </c>
      <c r="C51" s="488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485">
        <f>SUM(B51:M51)</f>
        <v>1514.1000000000001</v>
      </c>
    </row>
    <row r="52" spans="1:15">
      <c r="A52" s="251" t="s">
        <v>346</v>
      </c>
      <c r="B52" s="485">
        <f>M23</f>
        <v>735</v>
      </c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253"/>
      <c r="N52" s="485">
        <f>SUM(B52:M52)</f>
        <v>735</v>
      </c>
    </row>
    <row r="53" spans="1:15" ht="15.75" thickBot="1">
      <c r="A53" s="254" t="s">
        <v>389</v>
      </c>
      <c r="B53" s="493">
        <f>SUM(B50:B52)</f>
        <v>3471.4711384615384</v>
      </c>
      <c r="C53" s="493">
        <f t="shared" ref="C53:M53" si="17">SUM(C50:C52)</f>
        <v>1222.3711384615383</v>
      </c>
      <c r="D53" s="493">
        <f t="shared" si="17"/>
        <v>1222.3711384615383</v>
      </c>
      <c r="E53" s="493">
        <f t="shared" si="17"/>
        <v>1527.9639230769228</v>
      </c>
      <c r="F53" s="493">
        <f t="shared" si="17"/>
        <v>1222.3711384615383</v>
      </c>
      <c r="G53" s="493">
        <f t="shared" si="17"/>
        <v>1222.3711384615383</v>
      </c>
      <c r="H53" s="493">
        <f t="shared" si="17"/>
        <v>1527.9639230769228</v>
      </c>
      <c r="I53" s="493">
        <f t="shared" si="17"/>
        <v>1222.3711384615383</v>
      </c>
      <c r="J53" s="493">
        <f t="shared" si="17"/>
        <v>1222.3711384615383</v>
      </c>
      <c r="K53" s="493">
        <f t="shared" si="17"/>
        <v>1527.9639230769228</v>
      </c>
      <c r="L53" s="493">
        <f t="shared" si="17"/>
        <v>1222.3711384615383</v>
      </c>
      <c r="M53" s="493">
        <f t="shared" si="17"/>
        <v>1527.9639230769228</v>
      </c>
      <c r="N53" s="546">
        <f>SUM(B53:M53)</f>
        <v>18139.924799999997</v>
      </c>
      <c r="O53" s="491" t="s">
        <v>347</v>
      </c>
    </row>
    <row r="54" spans="1:15" ht="15.75" thickTop="1">
      <c r="A54" s="251"/>
      <c r="M54" s="254"/>
    </row>
    <row r="55" spans="1:15">
      <c r="A55" s="255"/>
      <c r="C55" s="494"/>
    </row>
    <row r="56" spans="1:15">
      <c r="A56" s="256" t="s">
        <v>348</v>
      </c>
      <c r="B56" s="252">
        <f t="shared" ref="B56:M56" si="18">$M$26/12</f>
        <v>1125.1673333333331</v>
      </c>
      <c r="C56" s="252">
        <f t="shared" si="18"/>
        <v>1125.1673333333331</v>
      </c>
      <c r="D56" s="252">
        <f t="shared" si="18"/>
        <v>1125.1673333333331</v>
      </c>
      <c r="E56" s="252">
        <f t="shared" si="18"/>
        <v>1125.1673333333331</v>
      </c>
      <c r="F56" s="252">
        <f t="shared" si="18"/>
        <v>1125.1673333333331</v>
      </c>
      <c r="G56" s="252">
        <f t="shared" si="18"/>
        <v>1125.1673333333331</v>
      </c>
      <c r="H56" s="252">
        <f t="shared" si="18"/>
        <v>1125.1673333333331</v>
      </c>
      <c r="I56" s="252">
        <f t="shared" si="18"/>
        <v>1125.1673333333331</v>
      </c>
      <c r="J56" s="252">
        <f t="shared" si="18"/>
        <v>1125.1673333333331</v>
      </c>
      <c r="K56" s="252">
        <f t="shared" si="18"/>
        <v>1125.1673333333331</v>
      </c>
      <c r="L56" s="252">
        <f t="shared" si="18"/>
        <v>1125.1673333333331</v>
      </c>
      <c r="M56" s="252">
        <f t="shared" si="18"/>
        <v>1125.1673333333331</v>
      </c>
      <c r="N56" s="543">
        <f>SUM(B56:M56)</f>
        <v>13502.007999999996</v>
      </c>
      <c r="O56" s="491" t="s">
        <v>349</v>
      </c>
    </row>
    <row r="57" spans="1:15">
      <c r="A57" s="257" t="s">
        <v>350</v>
      </c>
      <c r="B57" s="495"/>
      <c r="C57" s="495"/>
      <c r="D57" s="252">
        <f>M25</f>
        <v>315</v>
      </c>
      <c r="E57" s="495"/>
      <c r="F57" s="495"/>
      <c r="G57" s="495"/>
      <c r="H57" s="495"/>
      <c r="I57" s="495"/>
      <c r="J57" s="495"/>
      <c r="K57" s="495"/>
      <c r="L57" s="495"/>
      <c r="M57" s="258"/>
      <c r="N57" s="543">
        <f>SUM(B57:M57)</f>
        <v>315</v>
      </c>
      <c r="O57" s="491" t="s">
        <v>351</v>
      </c>
    </row>
    <row r="58" spans="1:15">
      <c r="A58" s="257" t="s">
        <v>352</v>
      </c>
      <c r="B58" s="496">
        <f>SUM(B56:B57)</f>
        <v>1125.1673333333331</v>
      </c>
      <c r="C58" s="496">
        <f t="shared" ref="C58:N58" si="19">SUM(C56:C57)</f>
        <v>1125.1673333333331</v>
      </c>
      <c r="D58" s="496">
        <f t="shared" si="19"/>
        <v>1440.1673333333331</v>
      </c>
      <c r="E58" s="496">
        <f t="shared" si="19"/>
        <v>1125.1673333333331</v>
      </c>
      <c r="F58" s="496">
        <f t="shared" si="19"/>
        <v>1125.1673333333331</v>
      </c>
      <c r="G58" s="496">
        <f t="shared" si="19"/>
        <v>1125.1673333333331</v>
      </c>
      <c r="H58" s="496">
        <f t="shared" si="19"/>
        <v>1125.1673333333331</v>
      </c>
      <c r="I58" s="496">
        <f t="shared" si="19"/>
        <v>1125.1673333333331</v>
      </c>
      <c r="J58" s="496">
        <f t="shared" si="19"/>
        <v>1125.1673333333331</v>
      </c>
      <c r="K58" s="496">
        <f t="shared" si="19"/>
        <v>1125.1673333333331</v>
      </c>
      <c r="L58" s="496">
        <f t="shared" si="19"/>
        <v>1125.1673333333331</v>
      </c>
      <c r="M58" s="496">
        <f t="shared" si="19"/>
        <v>1125.1673333333331</v>
      </c>
      <c r="N58" s="496">
        <f t="shared" si="19"/>
        <v>13817.007999999996</v>
      </c>
    </row>
    <row r="59" spans="1:15">
      <c r="A59" s="255"/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97"/>
    </row>
    <row r="60" spans="1:15"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</row>
    <row r="61" spans="1:15">
      <c r="A61" s="476" t="s">
        <v>448</v>
      </c>
      <c r="B61" s="497">
        <f>$M$27/12</f>
        <v>500.49</v>
      </c>
      <c r="C61" s="497">
        <f t="shared" ref="C61:M61" si="20">$M$27/12</f>
        <v>500.49</v>
      </c>
      <c r="D61" s="497">
        <f t="shared" si="20"/>
        <v>500.49</v>
      </c>
      <c r="E61" s="497">
        <f t="shared" si="20"/>
        <v>500.49</v>
      </c>
      <c r="F61" s="497">
        <f t="shared" si="20"/>
        <v>500.49</v>
      </c>
      <c r="G61" s="497">
        <f t="shared" si="20"/>
        <v>500.49</v>
      </c>
      <c r="H61" s="497">
        <f t="shared" si="20"/>
        <v>500.49</v>
      </c>
      <c r="I61" s="497">
        <f t="shared" si="20"/>
        <v>500.49</v>
      </c>
      <c r="J61" s="497">
        <f t="shared" si="20"/>
        <v>500.49</v>
      </c>
      <c r="K61" s="497">
        <f t="shared" si="20"/>
        <v>500.49</v>
      </c>
      <c r="L61" s="497">
        <f t="shared" si="20"/>
        <v>500.49</v>
      </c>
      <c r="M61" s="497">
        <f t="shared" si="20"/>
        <v>500.49</v>
      </c>
      <c r="N61" s="543">
        <f>SUM(B61:M61)</f>
        <v>6005.8799999999983</v>
      </c>
      <c r="O61" s="491" t="s">
        <v>451</v>
      </c>
    </row>
    <row r="62" spans="1:15">
      <c r="A62" s="489" t="s">
        <v>429</v>
      </c>
      <c r="B62" s="497">
        <f>$M$24/12</f>
        <v>591.19999999999993</v>
      </c>
      <c r="C62" s="497">
        <f t="shared" ref="C62:M62" si="21">$M$24/12</f>
        <v>591.19999999999993</v>
      </c>
      <c r="D62" s="497">
        <f t="shared" si="21"/>
        <v>591.19999999999993</v>
      </c>
      <c r="E62" s="497">
        <f t="shared" si="21"/>
        <v>591.19999999999993</v>
      </c>
      <c r="F62" s="497">
        <f t="shared" si="21"/>
        <v>591.19999999999993</v>
      </c>
      <c r="G62" s="497">
        <f t="shared" si="21"/>
        <v>591.19999999999993</v>
      </c>
      <c r="H62" s="497">
        <f t="shared" si="21"/>
        <v>591.19999999999993</v>
      </c>
      <c r="I62" s="497">
        <f t="shared" si="21"/>
        <v>591.19999999999993</v>
      </c>
      <c r="J62" s="497">
        <f t="shared" si="21"/>
        <v>591.19999999999993</v>
      </c>
      <c r="K62" s="497">
        <f t="shared" si="21"/>
        <v>591.19999999999993</v>
      </c>
      <c r="L62" s="497">
        <f t="shared" si="21"/>
        <v>591.19999999999993</v>
      </c>
      <c r="M62" s="497">
        <f t="shared" si="21"/>
        <v>591.19999999999993</v>
      </c>
      <c r="N62" s="543">
        <f>SUM(B62:M62)</f>
        <v>7094.3999999999987</v>
      </c>
      <c r="O62" s="491" t="s">
        <v>430</v>
      </c>
    </row>
    <row r="63" spans="1:15">
      <c r="B63" s="497"/>
      <c r="C63" s="497"/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</row>
    <row r="64" spans="1:15" ht="15.75">
      <c r="A64" s="498" t="s">
        <v>353</v>
      </c>
      <c r="B64" s="495">
        <f>+B47+B53+B58+B62</f>
        <v>19736.856933333333</v>
      </c>
      <c r="C64" s="495">
        <f t="shared" ref="C64:M64" si="22">+C47+C53+C58+C62</f>
        <v>17487.75693333333</v>
      </c>
      <c r="D64" s="495">
        <f t="shared" si="22"/>
        <v>17802.75693333333</v>
      </c>
      <c r="E64" s="495">
        <f t="shared" si="22"/>
        <v>21430.604333333333</v>
      </c>
      <c r="F64" s="495">
        <f t="shared" si="22"/>
        <v>17487.75693333333</v>
      </c>
      <c r="G64" s="495">
        <f t="shared" si="22"/>
        <v>17487.75693333333</v>
      </c>
      <c r="H64" s="495">
        <f t="shared" si="22"/>
        <v>21430.604333333333</v>
      </c>
      <c r="I64" s="495">
        <f t="shared" si="22"/>
        <v>17487.75693333333</v>
      </c>
      <c r="J64" s="495">
        <f t="shared" si="22"/>
        <v>17487.75693333333</v>
      </c>
      <c r="K64" s="495">
        <f t="shared" si="22"/>
        <v>21430.604333333333</v>
      </c>
      <c r="L64" s="495">
        <f t="shared" si="22"/>
        <v>17487.75693333333</v>
      </c>
      <c r="M64" s="495">
        <f t="shared" si="22"/>
        <v>29039.564333333332</v>
      </c>
      <c r="N64" s="495">
        <f>+N47+N53+N58+N62+N61</f>
        <v>241803.41279999996</v>
      </c>
    </row>
    <row r="65" spans="2:14">
      <c r="B65" s="497"/>
      <c r="C65" s="497"/>
      <c r="D65" s="497"/>
      <c r="E65" s="497"/>
      <c r="F65" s="497"/>
      <c r="G65" s="497"/>
      <c r="H65" s="497"/>
      <c r="I65" s="497"/>
      <c r="J65" s="497"/>
      <c r="K65" s="497"/>
      <c r="L65" s="497"/>
    </row>
    <row r="66" spans="2:14">
      <c r="B66" s="497"/>
      <c r="C66" s="497"/>
      <c r="D66" s="497"/>
      <c r="E66" s="497"/>
      <c r="F66" s="497"/>
      <c r="G66" s="497"/>
      <c r="H66" s="497"/>
      <c r="I66" s="497"/>
      <c r="J66" s="497"/>
      <c r="K66" s="497"/>
      <c r="L66" s="497"/>
    </row>
    <row r="67" spans="2:14">
      <c r="B67" s="497"/>
      <c r="C67" s="497"/>
      <c r="D67" s="497"/>
      <c r="E67" s="497"/>
      <c r="F67" s="497"/>
      <c r="G67" s="497"/>
      <c r="H67" s="497"/>
      <c r="I67" s="497"/>
      <c r="J67" s="497"/>
      <c r="K67" s="497"/>
      <c r="L67" s="497"/>
    </row>
    <row r="68" spans="2:14">
      <c r="B68" s="497"/>
      <c r="C68" s="497"/>
      <c r="D68" s="497"/>
      <c r="E68" s="497"/>
      <c r="F68" s="497"/>
      <c r="G68" s="497"/>
      <c r="H68" s="497"/>
      <c r="I68" s="497"/>
      <c r="J68" s="497"/>
      <c r="K68" s="497"/>
      <c r="L68" s="497"/>
      <c r="M68" s="497"/>
      <c r="N68" s="497"/>
    </row>
    <row r="69" spans="2:14">
      <c r="B69" s="497"/>
      <c r="C69" s="497"/>
      <c r="D69" s="497"/>
      <c r="E69" s="497"/>
      <c r="F69" s="497"/>
      <c r="G69" s="497"/>
      <c r="H69" s="497"/>
      <c r="I69" s="497"/>
      <c r="J69" s="497"/>
      <c r="K69" s="497"/>
      <c r="L69" s="497"/>
      <c r="M69" s="497"/>
      <c r="N69" s="497"/>
    </row>
    <row r="70" spans="2:14">
      <c r="B70" s="497"/>
      <c r="C70" s="497"/>
      <c r="D70" s="497"/>
      <c r="E70" s="497"/>
      <c r="F70" s="497"/>
      <c r="G70" s="497"/>
      <c r="H70" s="497"/>
      <c r="I70" s="497"/>
      <c r="J70" s="497"/>
      <c r="K70" s="497"/>
      <c r="L70" s="497"/>
      <c r="M70" s="497"/>
      <c r="N70" s="497"/>
    </row>
  </sheetData>
  <printOptions horizontalCentered="1"/>
  <pageMargins left="0" right="0" top="0" bottom="0" header="0.3" footer="0.3"/>
  <pageSetup scale="56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94"/>
  <sheetViews>
    <sheetView workbookViewId="0">
      <selection activeCell="C21" sqref="C21:G21"/>
    </sheetView>
  </sheetViews>
  <sheetFormatPr defaultRowHeight="15" outlineLevelRow="1"/>
  <cols>
    <col min="1" max="1" width="11.6640625" style="1" customWidth="1"/>
    <col min="2" max="2" width="3.88671875" style="1" bestFit="1" customWidth="1"/>
    <col min="3" max="7" width="11.77734375" style="1" customWidth="1"/>
    <col min="8" max="8" width="5.77734375" style="1" customWidth="1"/>
    <col min="9" max="9" width="6.77734375" style="1" customWidth="1"/>
    <col min="10" max="10" width="7.109375" style="1" customWidth="1"/>
    <col min="11" max="11" width="7.77734375" style="1" customWidth="1"/>
    <col min="12" max="12" width="6.109375" style="1" customWidth="1"/>
    <col min="13" max="13" width="1.77734375" style="1" customWidth="1"/>
    <col min="14" max="14" width="7" style="1" bestFit="1" customWidth="1"/>
    <col min="15" max="15" width="4.5546875" style="1" customWidth="1"/>
    <col min="16" max="16" width="8.21875" style="1" customWidth="1"/>
    <col min="17" max="16384" width="8.88671875" style="1"/>
  </cols>
  <sheetData>
    <row r="1" spans="1:16" ht="15.75">
      <c r="C1" s="462"/>
      <c r="D1" s="462" t="str">
        <f>COV!C23</f>
        <v>Sample Ave Condominium</v>
      </c>
      <c r="F1" s="462"/>
      <c r="H1" s="462"/>
      <c r="I1" s="462"/>
      <c r="J1" s="462"/>
      <c r="K1" s="462"/>
      <c r="L1" s="462"/>
      <c r="M1" s="462"/>
      <c r="N1" s="462"/>
      <c r="O1" s="462"/>
      <c r="P1" s="462"/>
    </row>
    <row r="2" spans="1:16" ht="15.75">
      <c r="C2" s="462"/>
      <c r="D2" s="462" t="str">
        <f>yrlycomp!A15</f>
        <v>Heating</v>
      </c>
      <c r="F2" s="462"/>
      <c r="H2" s="462"/>
      <c r="I2" s="462"/>
      <c r="J2" s="462"/>
      <c r="K2" s="462"/>
      <c r="L2" s="462"/>
      <c r="M2" s="462"/>
      <c r="N2" s="462"/>
      <c r="O2" s="462"/>
      <c r="P2" s="462"/>
    </row>
    <row r="3" spans="1:16" ht="15.75">
      <c r="C3" s="462"/>
      <c r="D3" s="462" t="str">
        <f>COV!C25</f>
        <v>For Year Ending 12/31/15</v>
      </c>
      <c r="F3" s="462"/>
      <c r="H3" s="462"/>
      <c r="I3" s="462"/>
      <c r="J3" s="462"/>
      <c r="K3" s="462"/>
      <c r="L3" s="462"/>
      <c r="M3" s="462"/>
      <c r="N3" s="462"/>
      <c r="O3" s="462"/>
      <c r="P3" s="462"/>
    </row>
    <row r="4" spans="1:16" ht="15.75">
      <c r="A4" s="13"/>
      <c r="E4" s="343"/>
      <c r="K4" s="343"/>
      <c r="P4" s="463"/>
    </row>
    <row r="5" spans="1:16" ht="15.75" outlineLevel="1">
      <c r="A5" s="13"/>
      <c r="C5" s="601" t="s">
        <v>517</v>
      </c>
      <c r="D5" s="601"/>
      <c r="E5" s="601"/>
      <c r="F5" s="601"/>
      <c r="G5" s="601"/>
      <c r="K5" s="343"/>
      <c r="P5" s="463"/>
    </row>
    <row r="6" spans="1:16" ht="15.75" outlineLevel="1">
      <c r="A6" s="464">
        <v>2011</v>
      </c>
      <c r="B6" s="465"/>
      <c r="C6" s="420" t="s">
        <v>391</v>
      </c>
      <c r="D6" s="420" t="s">
        <v>392</v>
      </c>
      <c r="E6" s="423" t="s">
        <v>24</v>
      </c>
      <c r="F6" s="423" t="s">
        <v>319</v>
      </c>
      <c r="G6" s="466" t="s">
        <v>394</v>
      </c>
      <c r="K6" s="343"/>
      <c r="P6" s="463"/>
    </row>
    <row r="7" spans="1:16" ht="15.75" outlineLevel="1">
      <c r="A7" s="401" t="s">
        <v>316</v>
      </c>
      <c r="B7" s="401"/>
      <c r="C7" s="402">
        <v>3370.9</v>
      </c>
      <c r="D7" s="402">
        <v>0</v>
      </c>
      <c r="E7" s="402">
        <f t="shared" ref="E7:E15" si="0">SUM(C7:D7)</f>
        <v>3370.9</v>
      </c>
      <c r="F7" s="409">
        <v>2447</v>
      </c>
      <c r="G7" s="160">
        <f>E7/F7</f>
        <v>1.3775643645279936</v>
      </c>
      <c r="K7" s="343"/>
      <c r="P7" s="463"/>
    </row>
    <row r="8" spans="1:16" ht="15.75" outlineLevel="1">
      <c r="A8" s="401" t="s">
        <v>308</v>
      </c>
      <c r="B8" s="401"/>
      <c r="C8" s="6">
        <v>3007.27</v>
      </c>
      <c r="D8" s="409">
        <v>0</v>
      </c>
      <c r="E8" s="6">
        <f t="shared" si="0"/>
        <v>3007.27</v>
      </c>
      <c r="F8" s="409">
        <v>2034</v>
      </c>
      <c r="G8" s="160">
        <f t="shared" ref="G8:G12" si="1">+E8/F8</f>
        <v>1.4785004916420845</v>
      </c>
      <c r="K8" s="343"/>
      <c r="P8" s="463"/>
    </row>
    <row r="9" spans="1:16" ht="15.75" outlineLevel="1">
      <c r="A9" s="401" t="s">
        <v>309</v>
      </c>
      <c r="B9" s="401"/>
      <c r="C9" s="6">
        <v>1971.11</v>
      </c>
      <c r="D9" s="409">
        <v>0</v>
      </c>
      <c r="E9" s="6">
        <f t="shared" si="0"/>
        <v>1971.11</v>
      </c>
      <c r="F9" s="409">
        <v>1323</v>
      </c>
      <c r="G9" s="160">
        <f t="shared" si="1"/>
        <v>1.4898790627362055</v>
      </c>
      <c r="K9" s="343"/>
      <c r="P9" s="463"/>
    </row>
    <row r="10" spans="1:16" ht="15.75" outlineLevel="1">
      <c r="A10" s="401" t="s">
        <v>310</v>
      </c>
      <c r="B10" s="401"/>
      <c r="C10" s="6">
        <v>1444.29</v>
      </c>
      <c r="D10" s="409">
        <v>0</v>
      </c>
      <c r="E10" s="6">
        <f t="shared" si="0"/>
        <v>1444.29</v>
      </c>
      <c r="F10" s="409">
        <v>1083</v>
      </c>
      <c r="G10" s="160">
        <f t="shared" si="1"/>
        <v>1.3336011080332411</v>
      </c>
      <c r="K10" s="343"/>
      <c r="P10" s="463"/>
    </row>
    <row r="11" spans="1:16" ht="15.75" outlineLevel="1">
      <c r="A11" s="401" t="s">
        <v>86</v>
      </c>
      <c r="B11" s="401"/>
      <c r="C11" s="6">
        <v>543.16999999999996</v>
      </c>
      <c r="D11" s="409">
        <v>0</v>
      </c>
      <c r="E11" s="6">
        <f t="shared" si="0"/>
        <v>543.16999999999996</v>
      </c>
      <c r="F11" s="409">
        <v>333</v>
      </c>
      <c r="G11" s="160">
        <f t="shared" si="1"/>
        <v>1.6311411411411409</v>
      </c>
      <c r="K11" s="343"/>
      <c r="P11" s="463"/>
    </row>
    <row r="12" spans="1:16" ht="15.75" outlineLevel="1">
      <c r="A12" s="401" t="s">
        <v>320</v>
      </c>
      <c r="B12" s="401"/>
      <c r="C12" s="6">
        <v>89.09</v>
      </c>
      <c r="D12" s="409">
        <v>0</v>
      </c>
      <c r="E12" s="6">
        <f t="shared" si="0"/>
        <v>89.09</v>
      </c>
      <c r="F12" s="409">
        <v>47</v>
      </c>
      <c r="G12" s="160">
        <f t="shared" si="1"/>
        <v>1.8955319148936172</v>
      </c>
      <c r="K12" s="343"/>
      <c r="P12" s="463"/>
    </row>
    <row r="13" spans="1:16" ht="15.75" outlineLevel="1">
      <c r="A13" s="401" t="s">
        <v>311</v>
      </c>
      <c r="B13" s="401"/>
      <c r="C13" s="6">
        <v>20.239999999999998</v>
      </c>
      <c r="D13" s="409">
        <v>0</v>
      </c>
      <c r="E13" s="6">
        <f t="shared" si="0"/>
        <v>20.239999999999998</v>
      </c>
      <c r="F13" s="409">
        <v>0</v>
      </c>
      <c r="G13" s="160">
        <v>0</v>
      </c>
      <c r="K13" s="343"/>
      <c r="P13" s="463"/>
    </row>
    <row r="14" spans="1:16" ht="15.75" outlineLevel="1">
      <c r="A14" s="401" t="s">
        <v>312</v>
      </c>
      <c r="B14" s="401"/>
      <c r="C14" s="6">
        <v>18.39</v>
      </c>
      <c r="D14" s="409">
        <v>0</v>
      </c>
      <c r="E14" s="6">
        <f t="shared" si="0"/>
        <v>18.39</v>
      </c>
      <c r="F14" s="409">
        <v>0</v>
      </c>
      <c r="G14" s="160">
        <v>0</v>
      </c>
      <c r="K14" s="343"/>
      <c r="P14" s="463"/>
    </row>
    <row r="15" spans="1:16" ht="15.75" outlineLevel="1">
      <c r="A15" s="401" t="s">
        <v>313</v>
      </c>
      <c r="B15" s="401"/>
      <c r="C15" s="6">
        <f>130.34+65.31</f>
        <v>195.65</v>
      </c>
      <c r="D15" s="409">
        <v>0</v>
      </c>
      <c r="E15" s="6">
        <f t="shared" si="0"/>
        <v>195.65</v>
      </c>
      <c r="F15" s="409">
        <f>76+43</f>
        <v>119</v>
      </c>
      <c r="G15" s="160">
        <f t="shared" ref="G15:G18" si="2">+E15/F15</f>
        <v>1.6441176470588237</v>
      </c>
      <c r="K15" s="343"/>
      <c r="P15" s="463"/>
    </row>
    <row r="16" spans="1:16" ht="15.75" outlineLevel="1">
      <c r="A16" s="401" t="s">
        <v>314</v>
      </c>
      <c r="B16" s="401"/>
      <c r="C16" s="6">
        <f>65.31+218.43</f>
        <v>283.74</v>
      </c>
      <c r="D16" s="409">
        <v>122.11</v>
      </c>
      <c r="E16" s="6">
        <f t="shared" ref="E16" si="3">SUM(C16:D16)</f>
        <v>405.85</v>
      </c>
      <c r="F16" s="409">
        <v>213</v>
      </c>
      <c r="G16" s="160">
        <f t="shared" si="2"/>
        <v>1.9053990610328639</v>
      </c>
      <c r="K16" s="343"/>
      <c r="P16" s="463"/>
    </row>
    <row r="17" spans="1:16" ht="15.75" outlineLevel="1">
      <c r="A17" s="401" t="s">
        <v>315</v>
      </c>
      <c r="B17" s="401"/>
      <c r="C17" s="6">
        <v>689.44</v>
      </c>
      <c r="D17" s="409">
        <v>494.6</v>
      </c>
      <c r="E17" s="6">
        <f t="shared" ref="E17:E18" si="4">SUM(C17:D17)</f>
        <v>1184.04</v>
      </c>
      <c r="F17" s="409">
        <v>889</v>
      </c>
      <c r="G17" s="160">
        <f t="shared" si="2"/>
        <v>1.3318785151856019</v>
      </c>
      <c r="K17" s="343"/>
      <c r="P17" s="463"/>
    </row>
    <row r="18" spans="1:16" ht="15.75" outlineLevel="1">
      <c r="A18" s="401" t="s">
        <v>321</v>
      </c>
      <c r="B18" s="401"/>
      <c r="C18" s="6">
        <v>1124.67</v>
      </c>
      <c r="D18" s="409">
        <v>648.1</v>
      </c>
      <c r="E18" s="6">
        <f t="shared" si="4"/>
        <v>1772.77</v>
      </c>
      <c r="F18" s="409">
        <v>1208</v>
      </c>
      <c r="G18" s="467">
        <f t="shared" si="2"/>
        <v>1.4675248344370861</v>
      </c>
      <c r="K18" s="343"/>
      <c r="P18" s="463"/>
    </row>
    <row r="19" spans="1:16" ht="16.5" outlineLevel="1" thickBot="1">
      <c r="A19" s="401" t="s">
        <v>24</v>
      </c>
      <c r="B19" s="401"/>
      <c r="C19" s="416">
        <f>SUM(C7:C18)</f>
        <v>12757.96</v>
      </c>
      <c r="D19" s="416">
        <f>SUM(D7:D18)</f>
        <v>1264.81</v>
      </c>
      <c r="E19" s="416">
        <f>SUM(E7:E18)</f>
        <v>14022.77</v>
      </c>
      <c r="F19" s="417">
        <f>SUM(F7:F18)</f>
        <v>9696</v>
      </c>
      <c r="G19" s="418">
        <f>E19/F19</f>
        <v>1.4462427805280529</v>
      </c>
      <c r="K19" s="343"/>
      <c r="P19" s="463"/>
    </row>
    <row r="20" spans="1:16" ht="16.5" outlineLevel="1" thickTop="1">
      <c r="A20" s="13"/>
      <c r="E20" s="343"/>
      <c r="K20" s="343"/>
      <c r="P20" s="463"/>
    </row>
    <row r="21" spans="1:16" ht="15.75" outlineLevel="1">
      <c r="A21" s="401"/>
      <c r="B21" s="401"/>
      <c r="C21" s="601" t="s">
        <v>517</v>
      </c>
      <c r="D21" s="601"/>
      <c r="E21" s="601"/>
      <c r="F21" s="601"/>
      <c r="G21" s="601"/>
    </row>
    <row r="22" spans="1:16" ht="15.75" outlineLevel="1">
      <c r="A22" s="464">
        <v>2012</v>
      </c>
      <c r="B22" s="465"/>
      <c r="C22" s="420" t="s">
        <v>391</v>
      </c>
      <c r="D22" s="420" t="s">
        <v>392</v>
      </c>
      <c r="E22" s="423" t="s">
        <v>24</v>
      </c>
      <c r="F22" s="423" t="s">
        <v>319</v>
      </c>
      <c r="G22" s="466" t="s">
        <v>394</v>
      </c>
    </row>
    <row r="23" spans="1:16" outlineLevel="1">
      <c r="A23" s="401" t="s">
        <v>316</v>
      </c>
      <c r="B23" s="401"/>
      <c r="C23" s="402">
        <v>1590.92</v>
      </c>
      <c r="D23" s="402">
        <v>986.25</v>
      </c>
      <c r="E23" s="402">
        <f t="shared" ref="E23:E31" si="5">SUM(C23:D23)</f>
        <v>2577.17</v>
      </c>
      <c r="F23" s="409">
        <v>1932</v>
      </c>
      <c r="G23" s="160">
        <f t="shared" ref="G23:G28" si="6">E23/F23</f>
        <v>1.3339389233954451</v>
      </c>
    </row>
    <row r="24" spans="1:16" outlineLevel="1">
      <c r="A24" s="401" t="s">
        <v>308</v>
      </c>
      <c r="B24" s="401"/>
      <c r="C24" s="6">
        <v>1284.94</v>
      </c>
      <c r="D24" s="6">
        <v>680.68</v>
      </c>
      <c r="E24" s="6">
        <f t="shared" si="5"/>
        <v>1965.62</v>
      </c>
      <c r="F24" s="409">
        <v>1452</v>
      </c>
      <c r="G24" s="160">
        <f t="shared" si="6"/>
        <v>1.3537327823691458</v>
      </c>
    </row>
    <row r="25" spans="1:16" outlineLevel="1">
      <c r="A25" s="401" t="s">
        <v>309</v>
      </c>
      <c r="B25" s="401"/>
      <c r="C25" s="6">
        <v>953.03</v>
      </c>
      <c r="D25" s="6">
        <v>407.39</v>
      </c>
      <c r="E25" s="6">
        <f t="shared" si="5"/>
        <v>1360.42</v>
      </c>
      <c r="F25" s="409">
        <v>926</v>
      </c>
      <c r="G25" s="160">
        <f t="shared" si="6"/>
        <v>1.4691360691144708</v>
      </c>
    </row>
    <row r="26" spans="1:16" outlineLevel="1">
      <c r="A26" s="401" t="s">
        <v>310</v>
      </c>
      <c r="B26" s="401"/>
      <c r="C26" s="6">
        <v>581.41</v>
      </c>
      <c r="D26" s="6">
        <v>268.29000000000002</v>
      </c>
      <c r="E26" s="6">
        <f t="shared" si="5"/>
        <v>849.7</v>
      </c>
      <c r="F26" s="409">
        <v>648</v>
      </c>
      <c r="G26" s="160">
        <f t="shared" si="6"/>
        <v>1.3112654320987656</v>
      </c>
    </row>
    <row r="27" spans="1:16" outlineLevel="1">
      <c r="A27" s="401" t="s">
        <v>86</v>
      </c>
      <c r="B27" s="401"/>
      <c r="C27" s="6">
        <v>283.8</v>
      </c>
      <c r="D27" s="6">
        <v>144.36000000000001</v>
      </c>
      <c r="E27" s="6">
        <f t="shared" si="5"/>
        <v>428.16</v>
      </c>
      <c r="F27" s="409">
        <v>364</v>
      </c>
      <c r="G27" s="160">
        <f t="shared" si="6"/>
        <v>1.1762637362637363</v>
      </c>
    </row>
    <row r="28" spans="1:16" outlineLevel="1">
      <c r="A28" s="401" t="s">
        <v>320</v>
      </c>
      <c r="B28" s="401"/>
      <c r="C28" s="6">
        <v>42.82</v>
      </c>
      <c r="D28" s="6">
        <v>69.36</v>
      </c>
      <c r="E28" s="6">
        <f t="shared" si="5"/>
        <v>112.18</v>
      </c>
      <c r="F28" s="409">
        <v>27</v>
      </c>
      <c r="G28" s="160">
        <f t="shared" si="6"/>
        <v>4.1548148148148147</v>
      </c>
    </row>
    <row r="29" spans="1:16" outlineLevel="1">
      <c r="A29" s="401" t="s">
        <v>311</v>
      </c>
      <c r="B29" s="401"/>
      <c r="C29" s="6">
        <f>42.59/2</f>
        <v>21.295000000000002</v>
      </c>
      <c r="D29" s="6">
        <f>1.9/2</f>
        <v>0.95</v>
      </c>
      <c r="E29" s="6">
        <f t="shared" si="5"/>
        <v>22.245000000000001</v>
      </c>
      <c r="F29" s="409">
        <v>2</v>
      </c>
      <c r="G29" s="160">
        <v>0</v>
      </c>
    </row>
    <row r="30" spans="1:16" outlineLevel="1">
      <c r="A30" s="401" t="s">
        <v>312</v>
      </c>
      <c r="B30" s="401"/>
      <c r="C30" s="6">
        <f>42.59/2</f>
        <v>21.295000000000002</v>
      </c>
      <c r="D30" s="6">
        <f>1.9/2</f>
        <v>0.95</v>
      </c>
      <c r="E30" s="6">
        <f t="shared" si="5"/>
        <v>22.245000000000001</v>
      </c>
      <c r="F30" s="409">
        <v>2</v>
      </c>
      <c r="G30" s="160">
        <v>0</v>
      </c>
    </row>
    <row r="31" spans="1:16" outlineLevel="1">
      <c r="A31" s="401" t="s">
        <v>313</v>
      </c>
      <c r="B31" s="401"/>
      <c r="C31" s="6">
        <f>44.9+40.4</f>
        <v>85.3</v>
      </c>
      <c r="D31" s="6">
        <v>11.68</v>
      </c>
      <c r="E31" s="6">
        <f t="shared" si="5"/>
        <v>96.97999999999999</v>
      </c>
      <c r="F31" s="409">
        <f>50+25</f>
        <v>75</v>
      </c>
      <c r="G31" s="160">
        <f>E31/F31</f>
        <v>1.2930666666666666</v>
      </c>
    </row>
    <row r="32" spans="1:16" outlineLevel="1">
      <c r="A32" s="425" t="s">
        <v>314</v>
      </c>
      <c r="B32" s="426"/>
      <c r="C32" s="429">
        <v>198.1</v>
      </c>
      <c r="D32" s="6">
        <f>22.78+102.89</f>
        <v>125.67</v>
      </c>
      <c r="E32" s="429">
        <f>SUM(C32:D32)</f>
        <v>323.77</v>
      </c>
      <c r="F32" s="430">
        <v>218</v>
      </c>
      <c r="G32" s="160">
        <f>E32/F32</f>
        <v>1.485183486238532</v>
      </c>
    </row>
    <row r="33" spans="1:7" outlineLevel="1">
      <c r="A33" s="401" t="s">
        <v>315</v>
      </c>
      <c r="B33" s="401"/>
      <c r="C33" s="6">
        <v>609.4</v>
      </c>
      <c r="D33" s="6">
        <v>440.09</v>
      </c>
      <c r="E33" s="6">
        <f t="shared" ref="E33:E34" si="7">SUM(C33:D33)</f>
        <v>1049.49</v>
      </c>
      <c r="F33" s="409">
        <v>905</v>
      </c>
      <c r="G33" s="160">
        <f t="shared" ref="G33:G34" si="8">+E33/F33</f>
        <v>1.159657458563536</v>
      </c>
    </row>
    <row r="34" spans="1:7" outlineLevel="1">
      <c r="A34" s="401" t="s">
        <v>321</v>
      </c>
      <c r="B34" s="401"/>
      <c r="C34" s="6">
        <v>920.13</v>
      </c>
      <c r="D34" s="6">
        <v>601.01</v>
      </c>
      <c r="E34" s="6">
        <f t="shared" si="7"/>
        <v>1521.1399999999999</v>
      </c>
      <c r="F34" s="409">
        <v>1162</v>
      </c>
      <c r="G34" s="160">
        <f t="shared" si="8"/>
        <v>1.3090705679862304</v>
      </c>
    </row>
    <row r="35" spans="1:7" ht="15.75" outlineLevel="1" thickBot="1">
      <c r="A35" s="401" t="s">
        <v>24</v>
      </c>
      <c r="B35" s="401"/>
      <c r="C35" s="416">
        <f>SUM(C23:C34)</f>
        <v>6592.4400000000005</v>
      </c>
      <c r="D35" s="416">
        <f>SUM(D23:D34)</f>
        <v>3736.6799999999994</v>
      </c>
      <c r="E35" s="416">
        <f>SUM(E23:E34)</f>
        <v>10329.119999999999</v>
      </c>
      <c r="F35" s="417">
        <f>SUM(F23:F34)</f>
        <v>7713</v>
      </c>
      <c r="G35" s="418">
        <f>E35/F35</f>
        <v>1.3391831971995332</v>
      </c>
    </row>
    <row r="36" spans="1:7" ht="15.75" outlineLevel="1" thickTop="1">
      <c r="A36" s="401"/>
      <c r="B36" s="401"/>
      <c r="C36" s="402"/>
      <c r="D36" s="402"/>
      <c r="E36" s="402"/>
      <c r="F36" s="409"/>
      <c r="G36" s="160"/>
    </row>
    <row r="37" spans="1:7" ht="15.75">
      <c r="A37" s="401"/>
      <c r="B37" s="401"/>
      <c r="C37" s="601" t="s">
        <v>517</v>
      </c>
      <c r="D37" s="601"/>
      <c r="E37" s="601"/>
      <c r="F37" s="601"/>
      <c r="G37" s="601"/>
    </row>
    <row r="38" spans="1:7" ht="15.75">
      <c r="A38" s="464">
        <v>2013</v>
      </c>
      <c r="B38" s="465"/>
      <c r="C38" s="420" t="s">
        <v>391</v>
      </c>
      <c r="D38" s="420" t="s">
        <v>392</v>
      </c>
      <c r="E38" s="423" t="s">
        <v>24</v>
      </c>
      <c r="F38" s="423" t="s">
        <v>319</v>
      </c>
      <c r="G38" s="466" t="s">
        <v>394</v>
      </c>
    </row>
    <row r="39" spans="1:7">
      <c r="A39" s="401" t="s">
        <v>316</v>
      </c>
      <c r="B39" s="401"/>
      <c r="C39" s="402">
        <v>1476.44</v>
      </c>
      <c r="D39" s="402">
        <v>954.67</v>
      </c>
      <c r="E39" s="402">
        <f t="shared" ref="E39:E50" si="9">SUM(C39:D39)</f>
        <v>2431.11</v>
      </c>
      <c r="F39" s="409">
        <v>1914</v>
      </c>
      <c r="G39" s="160">
        <f t="shared" ref="G39:G50" si="10">E39/F39</f>
        <v>1.2701724137931034</v>
      </c>
    </row>
    <row r="40" spans="1:7">
      <c r="A40" s="401" t="s">
        <v>308</v>
      </c>
      <c r="B40" s="401"/>
      <c r="C40" s="6">
        <v>1471.53</v>
      </c>
      <c r="D40" s="6">
        <v>1024.8399999999999</v>
      </c>
      <c r="E40" s="6">
        <f t="shared" si="9"/>
        <v>2496.37</v>
      </c>
      <c r="F40" s="409">
        <v>2146</v>
      </c>
      <c r="G40" s="160">
        <f t="shared" si="10"/>
        <v>1.1632665424044735</v>
      </c>
    </row>
    <row r="41" spans="1:7">
      <c r="A41" s="401" t="s">
        <v>309</v>
      </c>
      <c r="B41" s="401"/>
      <c r="C41" s="6">
        <v>1019.38</v>
      </c>
      <c r="D41" s="6">
        <v>741.99</v>
      </c>
      <c r="E41" s="6">
        <f t="shared" si="9"/>
        <v>1761.37</v>
      </c>
      <c r="F41" s="409">
        <v>1503</v>
      </c>
      <c r="G41" s="160">
        <f t="shared" si="10"/>
        <v>1.171902860944777</v>
      </c>
    </row>
    <row r="42" spans="1:7">
      <c r="A42" s="401" t="s">
        <v>310</v>
      </c>
      <c r="B42" s="401"/>
      <c r="C42" s="6">
        <v>604.91</v>
      </c>
      <c r="D42" s="6">
        <v>448.23</v>
      </c>
      <c r="E42" s="6">
        <f t="shared" si="9"/>
        <v>1053.1399999999999</v>
      </c>
      <c r="F42" s="409">
        <v>824</v>
      </c>
      <c r="G42" s="160">
        <f t="shared" si="10"/>
        <v>1.2780825242718445</v>
      </c>
    </row>
    <row r="43" spans="1:7">
      <c r="A43" s="401" t="s">
        <v>86</v>
      </c>
      <c r="B43" s="401"/>
      <c r="C43" s="6">
        <v>331.16</v>
      </c>
      <c r="D43" s="6">
        <v>223.54</v>
      </c>
      <c r="E43" s="6">
        <f t="shared" si="9"/>
        <v>554.70000000000005</v>
      </c>
      <c r="F43" s="409">
        <v>393</v>
      </c>
      <c r="G43" s="160">
        <f t="shared" si="10"/>
        <v>1.4114503816793895</v>
      </c>
    </row>
    <row r="44" spans="1:7">
      <c r="A44" s="401" t="s">
        <v>320</v>
      </c>
      <c r="B44" s="401"/>
      <c r="C44" s="6">
        <v>131.34</v>
      </c>
      <c r="D44" s="6">
        <v>89.28</v>
      </c>
      <c r="E44" s="6">
        <f t="shared" si="9"/>
        <v>220.62</v>
      </c>
      <c r="F44" s="409">
        <v>156</v>
      </c>
      <c r="G44" s="160">
        <f t="shared" si="10"/>
        <v>1.4142307692307692</v>
      </c>
    </row>
    <row r="45" spans="1:7">
      <c r="A45" s="401" t="s">
        <v>311</v>
      </c>
      <c r="B45" s="401"/>
      <c r="C45" s="6">
        <v>52.7</v>
      </c>
      <c r="D45" s="6">
        <v>19.79</v>
      </c>
      <c r="E45" s="6">
        <f t="shared" si="9"/>
        <v>72.490000000000009</v>
      </c>
      <c r="F45" s="409">
        <v>37</v>
      </c>
      <c r="G45" s="160">
        <f t="shared" si="10"/>
        <v>1.9591891891891895</v>
      </c>
    </row>
    <row r="46" spans="1:7">
      <c r="A46" s="401" t="s">
        <v>312</v>
      </c>
      <c r="B46" s="401"/>
      <c r="C46" s="6">
        <v>22.19</v>
      </c>
      <c r="D46" s="6">
        <v>0</v>
      </c>
      <c r="E46" s="6">
        <f t="shared" si="9"/>
        <v>22.19</v>
      </c>
      <c r="F46" s="409">
        <v>0</v>
      </c>
      <c r="G46" s="160">
        <v>0</v>
      </c>
    </row>
    <row r="47" spans="1:7">
      <c r="A47" s="401" t="s">
        <v>313</v>
      </c>
      <c r="B47" s="401"/>
      <c r="C47" s="6">
        <v>90.12</v>
      </c>
      <c r="D47" s="6">
        <v>40.07</v>
      </c>
      <c r="E47" s="6">
        <f t="shared" si="9"/>
        <v>130.19</v>
      </c>
      <c r="F47" s="409">
        <v>79</v>
      </c>
      <c r="G47" s="160">
        <f t="shared" si="10"/>
        <v>1.6479746835443039</v>
      </c>
    </row>
    <row r="48" spans="1:7" s="296" customFormat="1">
      <c r="A48" s="425" t="s">
        <v>314</v>
      </c>
      <c r="B48" s="426"/>
      <c r="C48" s="6">
        <v>346.53</v>
      </c>
      <c r="D48" s="6">
        <v>144.38999999999999</v>
      </c>
      <c r="E48" s="429">
        <f t="shared" si="9"/>
        <v>490.91999999999996</v>
      </c>
      <c r="F48" s="409">
        <v>300</v>
      </c>
      <c r="G48" s="160">
        <f t="shared" si="10"/>
        <v>1.6363999999999999</v>
      </c>
    </row>
    <row r="49" spans="1:7" s="296" customFormat="1">
      <c r="A49" s="425" t="s">
        <v>315</v>
      </c>
      <c r="B49" s="432" t="s">
        <v>361</v>
      </c>
      <c r="C49" s="429">
        <v>636.29</v>
      </c>
      <c r="D49" s="429">
        <v>406.25</v>
      </c>
      <c r="E49" s="429">
        <f t="shared" si="9"/>
        <v>1042.54</v>
      </c>
      <c r="F49" s="429">
        <v>857</v>
      </c>
      <c r="G49" s="160">
        <f t="shared" si="10"/>
        <v>1.2164994165694283</v>
      </c>
    </row>
    <row r="50" spans="1:7" s="296" customFormat="1">
      <c r="A50" s="425" t="s">
        <v>321</v>
      </c>
      <c r="B50" s="432" t="s">
        <v>361</v>
      </c>
      <c r="C50" s="429">
        <f>1098.24+301.75</f>
        <v>1399.99</v>
      </c>
      <c r="D50" s="429">
        <f>805.76+201.44</f>
        <v>1007.2</v>
      </c>
      <c r="E50" s="429">
        <f t="shared" si="9"/>
        <v>2407.19</v>
      </c>
      <c r="F50" s="429">
        <f>1571+393</f>
        <v>1964</v>
      </c>
      <c r="G50" s="160">
        <f t="shared" si="10"/>
        <v>1.2256568228105906</v>
      </c>
    </row>
    <row r="51" spans="1:7" ht="15.75" thickBot="1">
      <c r="A51" s="401" t="s">
        <v>24</v>
      </c>
      <c r="B51" s="401"/>
      <c r="C51" s="416">
        <f>SUM(C39:C50)</f>
        <v>7582.579999999999</v>
      </c>
      <c r="D51" s="416">
        <f>SUM(D39:D50)</f>
        <v>5100.25</v>
      </c>
      <c r="E51" s="416">
        <f>SUM(E39:E50)</f>
        <v>12682.830000000004</v>
      </c>
      <c r="F51" s="417">
        <f>SUM(F39:F50)</f>
        <v>10173</v>
      </c>
      <c r="G51" s="418">
        <f>E51/F51</f>
        <v>1.2467148333824833</v>
      </c>
    </row>
    <row r="52" spans="1:7" ht="15.75" thickTop="1">
      <c r="A52" s="401"/>
      <c r="B52" s="401"/>
      <c r="C52" s="437"/>
      <c r="D52" s="437"/>
      <c r="E52" s="437"/>
      <c r="F52" s="413"/>
      <c r="G52" s="160"/>
    </row>
    <row r="53" spans="1:7" ht="15.75">
      <c r="A53" s="438"/>
      <c r="B53" s="438"/>
      <c r="C53" s="601" t="s">
        <v>517</v>
      </c>
      <c r="D53" s="601"/>
      <c r="E53" s="601"/>
      <c r="F53" s="601"/>
      <c r="G53" s="601"/>
    </row>
    <row r="54" spans="1:7" ht="15.75">
      <c r="A54" s="464">
        <v>2014</v>
      </c>
      <c r="B54" s="468"/>
      <c r="C54" s="420" t="s">
        <v>391</v>
      </c>
      <c r="D54" s="420" t="s">
        <v>392</v>
      </c>
      <c r="E54" s="420" t="s">
        <v>24</v>
      </c>
      <c r="F54" s="423" t="s">
        <v>319</v>
      </c>
      <c r="G54" s="466" t="s">
        <v>394</v>
      </c>
    </row>
    <row r="55" spans="1:7">
      <c r="A55" s="425" t="s">
        <v>316</v>
      </c>
      <c r="B55" s="401"/>
      <c r="C55" s="323">
        <v>1136.1099999999999</v>
      </c>
      <c r="D55" s="323">
        <v>901.47</v>
      </c>
      <c r="E55" s="441">
        <f t="shared" ref="E55:E66" si="11">SUM(C55:D55)</f>
        <v>2037.58</v>
      </c>
      <c r="F55" s="409">
        <v>1584</v>
      </c>
      <c r="G55" s="160">
        <f t="shared" ref="G55:G64" si="12">E55/F55</f>
        <v>1.2863510101010101</v>
      </c>
    </row>
    <row r="56" spans="1:7">
      <c r="A56" s="425" t="s">
        <v>308</v>
      </c>
      <c r="B56" s="401"/>
      <c r="C56" s="6">
        <v>1493.19</v>
      </c>
      <c r="D56" s="409">
        <v>1465.23</v>
      </c>
      <c r="E56" s="430">
        <f t="shared" si="11"/>
        <v>2958.42</v>
      </c>
      <c r="F56" s="409">
        <v>2210</v>
      </c>
      <c r="G56" s="160">
        <f t="shared" si="12"/>
        <v>1.3386515837104074</v>
      </c>
    </row>
    <row r="57" spans="1:7">
      <c r="A57" s="425" t="s">
        <v>309</v>
      </c>
      <c r="B57" s="401"/>
      <c r="C57" s="6">
        <v>1041.79</v>
      </c>
      <c r="D57" s="409">
        <v>1030.67</v>
      </c>
      <c r="E57" s="430">
        <f t="shared" si="11"/>
        <v>2072.46</v>
      </c>
      <c r="F57" s="409">
        <v>1653</v>
      </c>
      <c r="G57" s="160">
        <f t="shared" si="12"/>
        <v>1.2537568058076225</v>
      </c>
    </row>
    <row r="58" spans="1:7">
      <c r="A58" s="425" t="s">
        <v>310</v>
      </c>
      <c r="B58" s="401"/>
      <c r="C58" s="6">
        <v>600.02</v>
      </c>
      <c r="D58" s="409">
        <v>462.13</v>
      </c>
      <c r="E58" s="430">
        <f t="shared" si="11"/>
        <v>1062.1500000000001</v>
      </c>
      <c r="F58" s="409">
        <v>780</v>
      </c>
      <c r="G58" s="160">
        <f t="shared" si="12"/>
        <v>1.3617307692307694</v>
      </c>
    </row>
    <row r="59" spans="1:7">
      <c r="A59" s="425" t="s">
        <v>86</v>
      </c>
      <c r="B59" s="408"/>
      <c r="C59" s="6">
        <v>365.13</v>
      </c>
      <c r="D59" s="409">
        <v>238.4</v>
      </c>
      <c r="E59" s="430">
        <f t="shared" si="11"/>
        <v>603.53</v>
      </c>
      <c r="F59" s="409">
        <v>394</v>
      </c>
      <c r="G59" s="160">
        <f t="shared" si="12"/>
        <v>1.5318020304568527</v>
      </c>
    </row>
    <row r="60" spans="1:7">
      <c r="A60" s="425" t="s">
        <v>320</v>
      </c>
      <c r="B60" s="401"/>
      <c r="C60" s="6">
        <v>122.69</v>
      </c>
      <c r="D60" s="409">
        <v>68.59</v>
      </c>
      <c r="E60" s="430">
        <f t="shared" si="11"/>
        <v>191.28</v>
      </c>
      <c r="F60" s="409">
        <v>115</v>
      </c>
      <c r="G60" s="160">
        <f t="shared" si="12"/>
        <v>1.6633043478260869</v>
      </c>
    </row>
    <row r="61" spans="1:7">
      <c r="A61" s="425" t="s">
        <v>311</v>
      </c>
      <c r="B61" s="401"/>
      <c r="C61" s="6">
        <v>23.09</v>
      </c>
      <c r="D61" s="409">
        <v>0</v>
      </c>
      <c r="E61" s="430">
        <f t="shared" si="11"/>
        <v>23.09</v>
      </c>
      <c r="F61" s="409">
        <v>1</v>
      </c>
      <c r="G61" s="160">
        <f t="shared" si="12"/>
        <v>23.09</v>
      </c>
    </row>
    <row r="62" spans="1:7">
      <c r="A62" s="425" t="s">
        <v>312</v>
      </c>
      <c r="B62" s="401"/>
      <c r="C62" s="6">
        <v>22.73</v>
      </c>
      <c r="D62" s="409">
        <v>1.56</v>
      </c>
      <c r="E62" s="430">
        <f t="shared" si="11"/>
        <v>24.29</v>
      </c>
      <c r="F62" s="409">
        <v>3</v>
      </c>
      <c r="G62" s="160">
        <f t="shared" si="12"/>
        <v>8.0966666666666658</v>
      </c>
    </row>
    <row r="63" spans="1:7">
      <c r="A63" s="425" t="s">
        <v>313</v>
      </c>
      <c r="B63" s="401"/>
      <c r="C63" s="6">
        <v>30.47</v>
      </c>
      <c r="D63" s="409">
        <v>4.66</v>
      </c>
      <c r="E63" s="430">
        <f t="shared" si="11"/>
        <v>35.129999999999995</v>
      </c>
      <c r="F63" s="409">
        <v>9</v>
      </c>
      <c r="G63" s="160">
        <f t="shared" si="12"/>
        <v>3.9033333333333329</v>
      </c>
    </row>
    <row r="64" spans="1:7">
      <c r="A64" s="425" t="s">
        <v>314</v>
      </c>
      <c r="B64" s="401"/>
      <c r="C64" s="6">
        <v>245.93</v>
      </c>
      <c r="D64" s="409">
        <v>119.26</v>
      </c>
      <c r="E64" s="430">
        <f t="shared" si="11"/>
        <v>365.19</v>
      </c>
      <c r="F64" s="409">
        <v>246</v>
      </c>
      <c r="G64" s="160">
        <f t="shared" si="12"/>
        <v>1.4845121951219513</v>
      </c>
    </row>
    <row r="65" spans="1:7">
      <c r="A65" s="425" t="s">
        <v>315</v>
      </c>
      <c r="B65" s="401"/>
      <c r="C65" s="6">
        <f>+F65*$D$87</f>
        <v>654.73105661186571</v>
      </c>
      <c r="D65" s="409">
        <f>+F65*$D$88</f>
        <v>553.04134950679054</v>
      </c>
      <c r="E65" s="430">
        <f t="shared" si="11"/>
        <v>1207.7724061186564</v>
      </c>
      <c r="F65" s="409">
        <f>+AVERAGE(F49,F33,F17)</f>
        <v>883.66666666666663</v>
      </c>
      <c r="G65" s="160">
        <f t="shared" ref="G65:G66" si="13">+G64</f>
        <v>1.4845121951219513</v>
      </c>
    </row>
    <row r="66" spans="1:7">
      <c r="A66" s="425" t="s">
        <v>321</v>
      </c>
      <c r="B66" s="401"/>
      <c r="C66" s="6">
        <f>+F66*$D$87</f>
        <v>1070.390192137241</v>
      </c>
      <c r="D66" s="409">
        <f t="shared" ref="D66" si="14">+F66*$D$88</f>
        <v>904.14228923516805</v>
      </c>
      <c r="E66" s="430">
        <f t="shared" si="11"/>
        <v>1974.5324813724092</v>
      </c>
      <c r="F66" s="409">
        <f>+AVERAGE(F50,F34,F18)</f>
        <v>1444.6666666666667</v>
      </c>
      <c r="G66" s="160">
        <f t="shared" si="13"/>
        <v>1.4845121951219513</v>
      </c>
    </row>
    <row r="67" spans="1:7" ht="15.75" thickBot="1">
      <c r="A67" s="425" t="s">
        <v>24</v>
      </c>
      <c r="B67" s="401"/>
      <c r="C67" s="416">
        <f>SUM(C55:C66)</f>
        <v>6806.2712487491071</v>
      </c>
      <c r="D67" s="416">
        <f>SUM(D55:D66)</f>
        <v>5749.1536387419592</v>
      </c>
      <c r="E67" s="443">
        <f>SUM(E55:E66)</f>
        <v>12555.424887491068</v>
      </c>
      <c r="F67" s="417">
        <f>SUM(F55:F66)</f>
        <v>9323.3333333333339</v>
      </c>
      <c r="G67" s="418">
        <f>E67/F67</f>
        <v>1.3466669525374759</v>
      </c>
    </row>
    <row r="68" spans="1:7" ht="15.75" thickTop="1">
      <c r="A68" s="401"/>
      <c r="B68" s="401"/>
      <c r="C68" s="437"/>
      <c r="D68" s="437"/>
      <c r="E68" s="437"/>
      <c r="F68" s="413"/>
      <c r="G68" s="160"/>
    </row>
    <row r="69" spans="1:7" ht="15.75">
      <c r="A69" s="438"/>
      <c r="B69" s="438"/>
      <c r="C69" s="601" t="s">
        <v>517</v>
      </c>
      <c r="D69" s="601"/>
      <c r="E69" s="601"/>
      <c r="F69" s="601"/>
      <c r="G69" s="601"/>
    </row>
    <row r="70" spans="1:7" ht="15.75">
      <c r="A70" s="444" t="s">
        <v>465</v>
      </c>
      <c r="B70" s="468"/>
      <c r="C70" s="420" t="s">
        <v>391</v>
      </c>
      <c r="D70" s="420" t="s">
        <v>392</v>
      </c>
      <c r="E70" s="469" t="s">
        <v>24</v>
      </c>
      <c r="F70" s="423" t="s">
        <v>319</v>
      </c>
      <c r="G70" s="466" t="s">
        <v>394</v>
      </c>
    </row>
    <row r="71" spans="1:7" ht="15.75">
      <c r="A71" s="445" t="s">
        <v>316</v>
      </c>
      <c r="B71" s="401"/>
      <c r="C71" s="323">
        <f>+F71*$D$89</f>
        <v>1381.3071771122231</v>
      </c>
      <c r="D71" s="323">
        <f>+F71*$D$90</f>
        <v>1166.7691300100073</v>
      </c>
      <c r="E71" s="470">
        <f t="shared" ref="E71:E82" si="15">SUM(C71:D71)</f>
        <v>2548.0763071222304</v>
      </c>
      <c r="F71" s="409">
        <f t="shared" ref="F71:F82" si="16">+AVERAGE(F55,F39,F23)</f>
        <v>1810</v>
      </c>
      <c r="G71" s="160">
        <f>G51*(1+G91)</f>
        <v>1.2841162783839579</v>
      </c>
    </row>
    <row r="72" spans="1:7" ht="15.75">
      <c r="A72" s="445" t="s">
        <v>308</v>
      </c>
      <c r="B72" s="401"/>
      <c r="C72" s="6">
        <f t="shared" ref="C72:C82" si="17">+F72*$D$89</f>
        <v>1477.4644723145107</v>
      </c>
      <c r="D72" s="409">
        <f t="shared" ref="D72:D82" si="18">+F72*$D$90</f>
        <v>1247.9917324305934</v>
      </c>
      <c r="E72" s="138">
        <f t="shared" si="15"/>
        <v>2725.4562047451041</v>
      </c>
      <c r="F72" s="409">
        <f t="shared" si="16"/>
        <v>1936</v>
      </c>
      <c r="G72" s="160">
        <f>+G71</f>
        <v>1.2841162783839579</v>
      </c>
    </row>
    <row r="73" spans="1:7" ht="15.75">
      <c r="A73" s="445" t="s">
        <v>309</v>
      </c>
      <c r="B73" s="401"/>
      <c r="C73" s="6">
        <f t="shared" si="17"/>
        <v>1038.3970344331667</v>
      </c>
      <c r="D73" s="409">
        <f t="shared" si="18"/>
        <v>877.118156298499</v>
      </c>
      <c r="E73" s="138">
        <f t="shared" si="15"/>
        <v>1915.5151907316658</v>
      </c>
      <c r="F73" s="409">
        <f t="shared" si="16"/>
        <v>1360.6666666666667</v>
      </c>
      <c r="G73" s="160">
        <f t="shared" ref="G73:G82" si="19">+G72</f>
        <v>1.2841162783839579</v>
      </c>
    </row>
    <row r="74" spans="1:7" ht="15.75">
      <c r="A74" s="445" t="s">
        <v>310</v>
      </c>
      <c r="B74" s="401"/>
      <c r="C74" s="6">
        <f t="shared" si="17"/>
        <v>572.87362115225164</v>
      </c>
      <c r="D74" s="409">
        <f t="shared" si="18"/>
        <v>483.8976207702645</v>
      </c>
      <c r="E74" s="138">
        <f t="shared" si="15"/>
        <v>1056.7712419225161</v>
      </c>
      <c r="F74" s="409">
        <f t="shared" si="16"/>
        <v>750.66666666666663</v>
      </c>
      <c r="G74" s="160">
        <f t="shared" si="19"/>
        <v>1.2841162783839579</v>
      </c>
    </row>
    <row r="75" spans="1:7" ht="15.75">
      <c r="A75" s="445" t="s">
        <v>86</v>
      </c>
      <c r="B75" s="408"/>
      <c r="C75" s="6">
        <f t="shared" si="17"/>
        <v>292.79642004717664</v>
      </c>
      <c r="D75" s="409">
        <f t="shared" si="18"/>
        <v>247.32067562458903</v>
      </c>
      <c r="E75" s="138">
        <f t="shared" si="15"/>
        <v>540.1170956717657</v>
      </c>
      <c r="F75" s="409">
        <f t="shared" si="16"/>
        <v>383.66666666666669</v>
      </c>
      <c r="G75" s="160">
        <f t="shared" si="19"/>
        <v>1.2841162783839579</v>
      </c>
    </row>
    <row r="76" spans="1:7" ht="15.75">
      <c r="A76" s="445" t="s">
        <v>320</v>
      </c>
      <c r="B76" s="401"/>
      <c r="C76" s="6">
        <f t="shared" si="17"/>
        <v>75.806544894924954</v>
      </c>
      <c r="D76" s="409">
        <f t="shared" si="18"/>
        <v>64.032633654324513</v>
      </c>
      <c r="E76" s="138">
        <f t="shared" si="15"/>
        <v>139.83917854924948</v>
      </c>
      <c r="F76" s="409">
        <f t="shared" si="16"/>
        <v>99.333333333333329</v>
      </c>
      <c r="G76" s="160">
        <f t="shared" si="19"/>
        <v>1.2841162783839579</v>
      </c>
    </row>
    <row r="77" spans="1:7" ht="15.75">
      <c r="A77" s="445" t="s">
        <v>311</v>
      </c>
      <c r="B77" s="401"/>
      <c r="C77" s="6">
        <f t="shared" si="17"/>
        <v>10.175375153681204</v>
      </c>
      <c r="D77" s="409">
        <f t="shared" si="18"/>
        <v>8.594984383130809</v>
      </c>
      <c r="E77" s="138">
        <f t="shared" si="15"/>
        <v>18.770359536812013</v>
      </c>
      <c r="F77" s="409">
        <f t="shared" si="16"/>
        <v>13.333333333333334</v>
      </c>
      <c r="G77" s="160">
        <v>0</v>
      </c>
    </row>
    <row r="78" spans="1:7" ht="15.75">
      <c r="A78" s="445" t="s">
        <v>312</v>
      </c>
      <c r="B78" s="401"/>
      <c r="C78" s="6">
        <f t="shared" si="17"/>
        <v>1.2719218942101504</v>
      </c>
      <c r="D78" s="409">
        <f t="shared" si="18"/>
        <v>1.0743730478913511</v>
      </c>
      <c r="E78" s="138">
        <f t="shared" si="15"/>
        <v>2.3462949421015016</v>
      </c>
      <c r="F78" s="409">
        <f t="shared" si="16"/>
        <v>1.6666666666666667</v>
      </c>
      <c r="G78" s="160">
        <v>0</v>
      </c>
    </row>
    <row r="79" spans="1:7" ht="15.75">
      <c r="A79" s="445" t="s">
        <v>313</v>
      </c>
      <c r="B79" s="401"/>
      <c r="C79" s="6">
        <f t="shared" si="17"/>
        <v>41.4646537512509</v>
      </c>
      <c r="D79" s="409">
        <f t="shared" si="18"/>
        <v>35.024561361258044</v>
      </c>
      <c r="E79" s="138">
        <f t="shared" si="15"/>
        <v>76.489215112508944</v>
      </c>
      <c r="F79" s="409">
        <f t="shared" si="16"/>
        <v>54.333333333333336</v>
      </c>
      <c r="G79" s="160">
        <f>G76</f>
        <v>1.2841162783839579</v>
      </c>
    </row>
    <row r="80" spans="1:7" ht="15.75">
      <c r="A80" s="445" t="s">
        <v>314</v>
      </c>
      <c r="B80" s="401"/>
      <c r="C80" s="6">
        <f t="shared" si="17"/>
        <v>194.34966543531095</v>
      </c>
      <c r="D80" s="409">
        <f t="shared" si="18"/>
        <v>164.16420171779842</v>
      </c>
      <c r="E80" s="138">
        <f t="shared" si="15"/>
        <v>358.51386715310935</v>
      </c>
      <c r="F80" s="409">
        <f t="shared" si="16"/>
        <v>254.66666666666666</v>
      </c>
      <c r="G80" s="160">
        <f t="shared" si="19"/>
        <v>1.2841162783839579</v>
      </c>
    </row>
    <row r="81" spans="1:18" ht="15.75">
      <c r="A81" s="445" t="s">
        <v>315</v>
      </c>
      <c r="B81" s="401"/>
      <c r="C81" s="6">
        <f t="shared" si="17"/>
        <v>673.01627162306409</v>
      </c>
      <c r="D81" s="409">
        <f t="shared" si="18"/>
        <v>568.4865920742435</v>
      </c>
      <c r="E81" s="138">
        <f t="shared" si="15"/>
        <v>1241.5028636973075</v>
      </c>
      <c r="F81" s="409">
        <f t="shared" si="16"/>
        <v>881.8888888888888</v>
      </c>
      <c r="G81" s="160">
        <f t="shared" si="19"/>
        <v>1.2841162783839579</v>
      </c>
    </row>
    <row r="82" spans="1:18" ht="15.75">
      <c r="A82" s="445" t="s">
        <v>321</v>
      </c>
      <c r="B82" s="401"/>
      <c r="C82" s="6">
        <f t="shared" si="17"/>
        <v>1162.7062008939722</v>
      </c>
      <c r="D82" s="409">
        <f t="shared" si="18"/>
        <v>982.12021551241378</v>
      </c>
      <c r="E82" s="138">
        <f t="shared" si="15"/>
        <v>2144.8264164063858</v>
      </c>
      <c r="F82" s="409">
        <f t="shared" si="16"/>
        <v>1523.5555555555557</v>
      </c>
      <c r="G82" s="160">
        <f t="shared" si="19"/>
        <v>1.2841162783839579</v>
      </c>
    </row>
    <row r="83" spans="1:18" ht="16.5" thickBot="1">
      <c r="A83" s="445" t="s">
        <v>24</v>
      </c>
      <c r="B83" s="401"/>
      <c r="C83" s="416">
        <f>SUM(C71:C82)</f>
        <v>6921.6293587057435</v>
      </c>
      <c r="D83" s="416">
        <f>SUM(D71:D82)</f>
        <v>5846.594876885013</v>
      </c>
      <c r="E83" s="471">
        <f>SUM(E71:E82)</f>
        <v>12768.224235590755</v>
      </c>
      <c r="F83" s="417">
        <f>SUM(F71:F82)</f>
        <v>9069.7777777777774</v>
      </c>
      <c r="G83" s="418">
        <f>E83/F83</f>
        <v>1.4077769652609007</v>
      </c>
    </row>
    <row r="84" spans="1:18" ht="16.5" thickTop="1">
      <c r="A84" s="401"/>
      <c r="B84" s="401"/>
      <c r="C84" s="437"/>
      <c r="D84" s="437"/>
      <c r="E84" s="449"/>
      <c r="F84" s="413"/>
      <c r="G84" s="160"/>
      <c r="H84" s="440"/>
    </row>
    <row r="85" spans="1:18" ht="15.75">
      <c r="A85" s="450" t="s">
        <v>466</v>
      </c>
      <c r="K85" s="401"/>
      <c r="L85" s="401"/>
      <c r="M85" s="401"/>
      <c r="N85" s="402"/>
      <c r="O85" s="401"/>
    </row>
    <row r="86" spans="1:18">
      <c r="A86" s="425" t="s">
        <v>447</v>
      </c>
      <c r="K86" s="401"/>
      <c r="L86" s="401"/>
      <c r="M86" s="401"/>
      <c r="N86" s="402"/>
      <c r="O86" s="461"/>
      <c r="R86" s="401"/>
    </row>
    <row r="87" spans="1:18">
      <c r="A87" s="425" t="s">
        <v>473</v>
      </c>
      <c r="D87" s="472">
        <f>+SUM(C55:C64)/SUM(F55:F64)*1.02</f>
        <v>0.74092537526804869</v>
      </c>
      <c r="K87" s="401"/>
      <c r="L87" s="401"/>
      <c r="M87" s="401"/>
      <c r="N87" s="402"/>
      <c r="O87" s="461"/>
      <c r="R87" s="401"/>
    </row>
    <row r="88" spans="1:18">
      <c r="A88" s="425" t="s">
        <v>474</v>
      </c>
      <c r="D88" s="472">
        <f>+SUM(D55:D64)/SUM(F55:F64)*1.02</f>
        <v>0.62584837741243748</v>
      </c>
      <c r="K88" s="401"/>
      <c r="L88" s="401"/>
      <c r="M88" s="401"/>
      <c r="N88" s="402"/>
      <c r="O88" s="461"/>
      <c r="R88" s="401"/>
    </row>
    <row r="89" spans="1:18">
      <c r="A89" s="425" t="s">
        <v>475</v>
      </c>
      <c r="D89" s="472">
        <f>+D87*(1+G91)</f>
        <v>0.76315313652609018</v>
      </c>
      <c r="K89" s="401"/>
      <c r="L89" s="401"/>
      <c r="M89" s="401"/>
      <c r="N89" s="402"/>
      <c r="O89" s="461"/>
      <c r="R89" s="401"/>
    </row>
    <row r="90" spans="1:18">
      <c r="A90" s="425" t="s">
        <v>476</v>
      </c>
      <c r="D90" s="472">
        <f>+D88*(1+G91)</f>
        <v>0.64462382873481061</v>
      </c>
      <c r="K90" s="401"/>
      <c r="L90" s="401"/>
      <c r="M90" s="401"/>
      <c r="N90" s="402"/>
      <c r="O90" s="461"/>
      <c r="R90" s="401"/>
    </row>
    <row r="91" spans="1:18">
      <c r="A91" s="425" t="s">
        <v>467</v>
      </c>
      <c r="G91" s="473">
        <v>0.03</v>
      </c>
      <c r="K91" s="401"/>
      <c r="L91" s="401"/>
      <c r="M91" s="401"/>
      <c r="N91" s="402"/>
      <c r="O91" s="461"/>
      <c r="R91" s="401"/>
    </row>
    <row r="93" spans="1:18">
      <c r="B93" s="474"/>
      <c r="C93" s="474"/>
      <c r="D93" s="602" t="s">
        <v>424</v>
      </c>
      <c r="E93" s="602"/>
      <c r="G93" s="474"/>
      <c r="H93" s="474"/>
      <c r="I93" s="474"/>
      <c r="J93" s="474"/>
      <c r="K93" s="474"/>
      <c r="L93" s="474"/>
      <c r="M93" s="474"/>
      <c r="N93" s="474"/>
      <c r="O93" s="474"/>
      <c r="P93" s="474"/>
    </row>
    <row r="94" spans="1:18">
      <c r="A94" s="6"/>
      <c r="B94" s="6"/>
      <c r="C94" s="6"/>
      <c r="D94" s="401"/>
      <c r="E94" s="475"/>
    </row>
  </sheetData>
  <mergeCells count="6">
    <mergeCell ref="C21:G21"/>
    <mergeCell ref="C5:G5"/>
    <mergeCell ref="C37:G37"/>
    <mergeCell ref="C69:G69"/>
    <mergeCell ref="D93:E93"/>
    <mergeCell ref="C53:G53"/>
  </mergeCells>
  <phoneticPr fontId="31" type="noConversion"/>
  <printOptions horizontalCentered="1"/>
  <pageMargins left="0" right="0" top="0" bottom="0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03"/>
  <sheetViews>
    <sheetView workbookViewId="0">
      <selection activeCell="K53" sqref="K53"/>
    </sheetView>
  </sheetViews>
  <sheetFormatPr defaultRowHeight="15" outlineLevelRow="1"/>
  <cols>
    <col min="1" max="1" width="10.5546875" style="1" customWidth="1"/>
    <col min="2" max="2" width="6.21875" style="1" bestFit="1" customWidth="1"/>
    <col min="3" max="7" width="11.77734375" style="1" customWidth="1"/>
    <col min="8" max="8" width="5" style="1" hidden="1" customWidth="1"/>
    <col min="9" max="9" width="3.33203125" style="1" customWidth="1"/>
    <col min="10" max="14" width="11.77734375" style="1" customWidth="1"/>
    <col min="15" max="16384" width="8.88671875" style="1"/>
  </cols>
  <sheetData>
    <row r="1" spans="1:14" ht="15.75">
      <c r="B1" s="400"/>
      <c r="C1" s="400"/>
      <c r="D1" s="400"/>
      <c r="F1" s="400" t="str">
        <f>COV!C23</f>
        <v>Sample Ave Condominium</v>
      </c>
      <c r="G1" s="400"/>
      <c r="H1" s="400"/>
      <c r="I1" s="401"/>
      <c r="J1" s="401"/>
      <c r="L1" s="402"/>
      <c r="M1" s="402"/>
    </row>
    <row r="2" spans="1:14" ht="15.75">
      <c r="B2" s="403"/>
      <c r="C2" s="403"/>
      <c r="D2" s="403"/>
      <c r="F2" s="400" t="str">
        <f>yrlycomp!A16</f>
        <v xml:space="preserve">Electric &amp; Gas </v>
      </c>
      <c r="G2" s="403"/>
      <c r="H2" s="403"/>
      <c r="I2" s="401"/>
      <c r="J2" s="401"/>
      <c r="L2" s="402"/>
      <c r="M2" s="402"/>
    </row>
    <row r="3" spans="1:14" ht="15.75">
      <c r="B3" s="400"/>
      <c r="C3" s="400"/>
      <c r="D3" s="400"/>
      <c r="F3" s="400" t="str">
        <f>COV!C25</f>
        <v>For Year Ending 12/31/15</v>
      </c>
      <c r="G3" s="400"/>
      <c r="H3" s="400"/>
      <c r="I3" s="401"/>
      <c r="J3" s="401"/>
      <c r="L3" s="402"/>
      <c r="M3" s="402"/>
    </row>
    <row r="4" spans="1:14" ht="15.75">
      <c r="B4" s="400"/>
      <c r="C4" s="400"/>
      <c r="D4" s="400"/>
      <c r="F4" s="400"/>
      <c r="G4" s="400"/>
      <c r="H4" s="400"/>
      <c r="I4" s="401"/>
      <c r="J4" s="401"/>
      <c r="L4" s="402"/>
      <c r="M4" s="402"/>
    </row>
    <row r="5" spans="1:14">
      <c r="A5" s="402"/>
      <c r="B5" s="402"/>
      <c r="C5" s="402"/>
      <c r="D5" s="402"/>
      <c r="E5" s="402"/>
      <c r="G5" s="402"/>
      <c r="H5" s="402"/>
      <c r="I5" s="402"/>
      <c r="J5" s="402"/>
      <c r="K5" s="402"/>
      <c r="L5" s="402"/>
      <c r="M5" s="402"/>
    </row>
    <row r="6" spans="1:14" ht="15.75" hidden="1" outlineLevel="1">
      <c r="A6" s="402"/>
      <c r="B6" s="402"/>
      <c r="C6" s="603" t="s">
        <v>518</v>
      </c>
      <c r="D6" s="603"/>
      <c r="E6" s="603"/>
      <c r="F6" s="603"/>
      <c r="G6" s="603"/>
      <c r="H6" s="402"/>
      <c r="I6" s="402"/>
      <c r="J6" s="601" t="s">
        <v>519</v>
      </c>
      <c r="K6" s="601"/>
      <c r="L6" s="601"/>
      <c r="M6" s="601"/>
      <c r="N6" s="601"/>
    </row>
    <row r="7" spans="1:14" hidden="1" outlineLevel="1">
      <c r="A7" s="404">
        <v>2011</v>
      </c>
      <c r="B7" s="401"/>
      <c r="C7" s="405" t="s">
        <v>391</v>
      </c>
      <c r="D7" s="405" t="s">
        <v>392</v>
      </c>
      <c r="E7" s="405" t="s">
        <v>24</v>
      </c>
      <c r="F7" s="405" t="s">
        <v>307</v>
      </c>
      <c r="G7" s="405" t="s">
        <v>393</v>
      </c>
      <c r="H7" s="402"/>
      <c r="J7" s="405" t="s">
        <v>391</v>
      </c>
      <c r="K7" s="405" t="s">
        <v>392</v>
      </c>
      <c r="L7" s="406" t="s">
        <v>24</v>
      </c>
      <c r="M7" s="406" t="s">
        <v>319</v>
      </c>
      <c r="N7" s="407" t="s">
        <v>394</v>
      </c>
    </row>
    <row r="8" spans="1:14" hidden="1" outlineLevel="1">
      <c r="A8" s="401" t="s">
        <v>316</v>
      </c>
      <c r="B8" s="408"/>
      <c r="C8" s="402">
        <v>4288.55</v>
      </c>
      <c r="D8" s="323">
        <f>0*1.07015</f>
        <v>0</v>
      </c>
      <c r="E8" s="409">
        <f>SUM(C8:D8)</f>
        <v>4288.55</v>
      </c>
      <c r="F8" s="409">
        <v>25600</v>
      </c>
      <c r="G8" s="160">
        <f>E8/F8</f>
        <v>0.167521484375</v>
      </c>
      <c r="H8" s="402"/>
      <c r="J8" s="402">
        <v>388.59</v>
      </c>
      <c r="K8" s="402">
        <v>0</v>
      </c>
      <c r="L8" s="402">
        <f t="shared" ref="L8:L19" si="0">SUM(J8:K8)</f>
        <v>388.59</v>
      </c>
      <c r="M8" s="409">
        <v>268</v>
      </c>
      <c r="N8" s="410">
        <f>L8/M8</f>
        <v>1.449962686567164</v>
      </c>
    </row>
    <row r="9" spans="1:14" hidden="1" outlineLevel="1">
      <c r="A9" s="401" t="s">
        <v>308</v>
      </c>
      <c r="B9" s="401"/>
      <c r="C9" s="6">
        <v>3647.58</v>
      </c>
      <c r="D9" s="6">
        <f>0*1.07015</f>
        <v>0</v>
      </c>
      <c r="E9" s="409">
        <f t="shared" ref="E9:E19" si="1">SUM(C9:D9)</f>
        <v>3647.58</v>
      </c>
      <c r="F9" s="409">
        <v>22000</v>
      </c>
      <c r="G9" s="160">
        <f t="shared" ref="G9:G19" si="2">E9/F9</f>
        <v>0.1657990909090909</v>
      </c>
      <c r="H9" s="402"/>
      <c r="J9" s="6">
        <v>368.94</v>
      </c>
      <c r="K9" s="6">
        <v>0</v>
      </c>
      <c r="L9" s="6">
        <f t="shared" si="0"/>
        <v>368.94</v>
      </c>
      <c r="M9" s="409">
        <v>250</v>
      </c>
      <c r="N9" s="410">
        <f t="shared" ref="N9:N19" si="3">L9/M9</f>
        <v>1.47576</v>
      </c>
    </row>
    <row r="10" spans="1:14" hidden="1" outlineLevel="1">
      <c r="A10" s="401" t="s">
        <v>309</v>
      </c>
      <c r="B10" s="401"/>
      <c r="C10" s="6">
        <v>3247.87</v>
      </c>
      <c r="D10" s="6">
        <f t="shared" ref="D10:D17" si="4">0*1.07015</f>
        <v>0</v>
      </c>
      <c r="E10" s="409">
        <f t="shared" si="1"/>
        <v>3247.87</v>
      </c>
      <c r="F10" s="409">
        <v>18400</v>
      </c>
      <c r="G10" s="160">
        <f t="shared" si="2"/>
        <v>0.17651467391304348</v>
      </c>
      <c r="H10" s="402"/>
      <c r="J10" s="6">
        <v>363.61</v>
      </c>
      <c r="K10" s="6">
        <v>0</v>
      </c>
      <c r="L10" s="6">
        <f t="shared" si="0"/>
        <v>363.61</v>
      </c>
      <c r="M10" s="409">
        <v>259</v>
      </c>
      <c r="N10" s="410">
        <f t="shared" si="3"/>
        <v>1.403899613899614</v>
      </c>
    </row>
    <row r="11" spans="1:14" hidden="1" outlineLevel="1">
      <c r="A11" s="401" t="s">
        <v>310</v>
      </c>
      <c r="B11" s="401"/>
      <c r="C11" s="6">
        <v>2398.83</v>
      </c>
      <c r="D11" s="6">
        <f t="shared" si="4"/>
        <v>0</v>
      </c>
      <c r="E11" s="409">
        <f t="shared" si="1"/>
        <v>2398.83</v>
      </c>
      <c r="F11" s="409">
        <v>12400</v>
      </c>
      <c r="G11" s="160">
        <f t="shared" si="2"/>
        <v>0.19345403225806451</v>
      </c>
      <c r="H11" s="402"/>
      <c r="J11" s="6">
        <v>367.61</v>
      </c>
      <c r="K11" s="6">
        <v>0</v>
      </c>
      <c r="L11" s="6">
        <f t="shared" si="0"/>
        <v>367.61</v>
      </c>
      <c r="M11" s="409">
        <v>265</v>
      </c>
      <c r="N11" s="410">
        <f t="shared" si="3"/>
        <v>1.3872075471698113</v>
      </c>
    </row>
    <row r="12" spans="1:14" hidden="1" outlineLevel="1">
      <c r="A12" s="401" t="s">
        <v>86</v>
      </c>
      <c r="B12" s="401"/>
      <c r="C12" s="6">
        <v>4748.5200000000004</v>
      </c>
      <c r="D12" s="6">
        <f t="shared" si="4"/>
        <v>0</v>
      </c>
      <c r="E12" s="409">
        <f t="shared" si="1"/>
        <v>4748.5200000000004</v>
      </c>
      <c r="F12" s="409">
        <v>20800</v>
      </c>
      <c r="G12" s="160">
        <f t="shared" si="2"/>
        <v>0.22829423076923078</v>
      </c>
      <c r="H12" s="402"/>
      <c r="J12" s="6">
        <v>302.36</v>
      </c>
      <c r="K12" s="6">
        <v>0</v>
      </c>
      <c r="L12" s="6">
        <f t="shared" si="0"/>
        <v>302.36</v>
      </c>
      <c r="M12" s="409">
        <v>214</v>
      </c>
      <c r="N12" s="410">
        <f t="shared" si="3"/>
        <v>1.4128971962616823</v>
      </c>
    </row>
    <row r="13" spans="1:14" hidden="1" outlineLevel="1">
      <c r="A13" s="401" t="s">
        <v>320</v>
      </c>
      <c r="B13" s="401"/>
      <c r="C13" s="6">
        <v>2763.28</v>
      </c>
      <c r="D13" s="6">
        <f t="shared" si="4"/>
        <v>0</v>
      </c>
      <c r="E13" s="409">
        <f t="shared" si="1"/>
        <v>2763.28</v>
      </c>
      <c r="F13" s="409">
        <v>14000</v>
      </c>
      <c r="G13" s="160">
        <f t="shared" si="2"/>
        <v>0.19737714285714286</v>
      </c>
      <c r="H13" s="402"/>
      <c r="J13" s="6">
        <v>262.05</v>
      </c>
      <c r="K13" s="6">
        <v>0</v>
      </c>
      <c r="L13" s="6">
        <f t="shared" si="0"/>
        <v>262.05</v>
      </c>
      <c r="M13" s="409">
        <v>187</v>
      </c>
      <c r="N13" s="410">
        <f t="shared" si="3"/>
        <v>1.401336898395722</v>
      </c>
    </row>
    <row r="14" spans="1:14" hidden="1" outlineLevel="1">
      <c r="A14" s="401" t="s">
        <v>311</v>
      </c>
      <c r="B14" s="401"/>
      <c r="C14" s="6">
        <v>4869.37</v>
      </c>
      <c r="D14" s="6">
        <f t="shared" si="4"/>
        <v>0</v>
      </c>
      <c r="E14" s="409">
        <f t="shared" si="1"/>
        <v>4869.37</v>
      </c>
      <c r="F14" s="409">
        <v>20800</v>
      </c>
      <c r="G14" s="160">
        <f t="shared" si="2"/>
        <v>0.23410432692307692</v>
      </c>
      <c r="H14" s="402"/>
      <c r="J14" s="6">
        <v>232.55</v>
      </c>
      <c r="K14" s="6">
        <v>0</v>
      </c>
      <c r="L14" s="6">
        <f t="shared" si="0"/>
        <v>232.55</v>
      </c>
      <c r="M14" s="409">
        <v>159</v>
      </c>
      <c r="N14" s="410">
        <f t="shared" si="3"/>
        <v>1.4625786163522014</v>
      </c>
    </row>
    <row r="15" spans="1:14" hidden="1" outlineLevel="1">
      <c r="A15" s="401" t="s">
        <v>312</v>
      </c>
      <c r="B15" s="401"/>
      <c r="C15" s="6">
        <v>3889.59</v>
      </c>
      <c r="D15" s="6">
        <f t="shared" si="4"/>
        <v>0</v>
      </c>
      <c r="E15" s="409">
        <f t="shared" si="1"/>
        <v>3889.59</v>
      </c>
      <c r="F15" s="409">
        <v>19200</v>
      </c>
      <c r="G15" s="160">
        <f t="shared" si="2"/>
        <v>0.20258281250000001</v>
      </c>
      <c r="H15" s="402"/>
      <c r="J15" s="6">
        <v>206.15</v>
      </c>
      <c r="K15" s="6">
        <v>0</v>
      </c>
      <c r="L15" s="6">
        <f t="shared" si="0"/>
        <v>206.15</v>
      </c>
      <c r="M15" s="409">
        <v>140</v>
      </c>
      <c r="N15" s="410">
        <f t="shared" si="3"/>
        <v>1.4725000000000001</v>
      </c>
    </row>
    <row r="16" spans="1:14" hidden="1" outlineLevel="1">
      <c r="A16" s="401" t="s">
        <v>313</v>
      </c>
      <c r="B16" s="401"/>
      <c r="C16" s="6">
        <v>3627.68</v>
      </c>
      <c r="D16" s="6">
        <f t="shared" si="4"/>
        <v>0</v>
      </c>
      <c r="E16" s="409">
        <f t="shared" si="1"/>
        <v>3627.68</v>
      </c>
      <c r="F16" s="409">
        <v>17600</v>
      </c>
      <c r="G16" s="160">
        <f t="shared" si="2"/>
        <v>0.20611818181818181</v>
      </c>
      <c r="H16" s="402"/>
      <c r="J16" s="6">
        <v>243.01</v>
      </c>
      <c r="K16" s="6">
        <v>0</v>
      </c>
      <c r="L16" s="6">
        <f t="shared" si="0"/>
        <v>243.01</v>
      </c>
      <c r="M16" s="409">
        <f>175</f>
        <v>175</v>
      </c>
      <c r="N16" s="410">
        <f t="shared" si="3"/>
        <v>1.3886285714285713</v>
      </c>
    </row>
    <row r="17" spans="1:14" hidden="1" outlineLevel="1">
      <c r="A17" s="401" t="s">
        <v>314</v>
      </c>
      <c r="B17" s="401"/>
      <c r="C17" s="6">
        <v>3791.67</v>
      </c>
      <c r="D17" s="6">
        <f t="shared" si="4"/>
        <v>0</v>
      </c>
      <c r="E17" s="409">
        <f t="shared" si="1"/>
        <v>3791.67</v>
      </c>
      <c r="F17" s="409">
        <v>17600</v>
      </c>
      <c r="G17" s="160">
        <f t="shared" si="2"/>
        <v>0.21543579545454547</v>
      </c>
      <c r="H17" s="402"/>
      <c r="J17" s="411">
        <f>106.45+70</f>
        <v>176.45</v>
      </c>
      <c r="K17" s="6">
        <v>69.290000000000006</v>
      </c>
      <c r="L17" s="411">
        <f t="shared" si="0"/>
        <v>245.74</v>
      </c>
      <c r="M17" s="412">
        <f>131+51</f>
        <v>182</v>
      </c>
      <c r="N17" s="410">
        <f t="shared" si="3"/>
        <v>1.3502197802197802</v>
      </c>
    </row>
    <row r="18" spans="1:14" hidden="1" outlineLevel="1">
      <c r="A18" s="401" t="s">
        <v>315</v>
      </c>
      <c r="B18" s="401"/>
      <c r="C18" s="6">
        <v>1388.28</v>
      </c>
      <c r="D18" s="6">
        <f>855.59*1.07015</f>
        <v>915.60963849999996</v>
      </c>
      <c r="E18" s="409">
        <f t="shared" si="1"/>
        <v>2303.8896384999998</v>
      </c>
      <c r="F18" s="413">
        <v>14000</v>
      </c>
      <c r="G18" s="160">
        <f t="shared" si="2"/>
        <v>0.16456354560714284</v>
      </c>
      <c r="H18" s="402"/>
      <c r="J18" s="6">
        <v>168.53</v>
      </c>
      <c r="K18" s="6">
        <v>112.14</v>
      </c>
      <c r="L18" s="6">
        <f t="shared" si="0"/>
        <v>280.67</v>
      </c>
      <c r="M18" s="409">
        <v>219</v>
      </c>
      <c r="N18" s="410">
        <f t="shared" si="3"/>
        <v>1.2815981735159818</v>
      </c>
    </row>
    <row r="19" spans="1:14" hidden="1" outlineLevel="1">
      <c r="A19" s="401" t="s">
        <v>321</v>
      </c>
      <c r="B19" s="401"/>
      <c r="C19" s="6">
        <v>1254.4000000000001</v>
      </c>
      <c r="D19" s="414">
        <f>715.07*1.07015</f>
        <v>765.23216049999996</v>
      </c>
      <c r="E19" s="409">
        <f t="shared" si="1"/>
        <v>2019.6321605000001</v>
      </c>
      <c r="F19" s="415">
        <v>12400</v>
      </c>
      <c r="G19" s="160">
        <f t="shared" si="2"/>
        <v>0.16287356133064518</v>
      </c>
      <c r="H19" s="402"/>
      <c r="J19" s="6">
        <v>164.27</v>
      </c>
      <c r="K19" s="6">
        <v>108.28</v>
      </c>
      <c r="L19" s="6">
        <f t="shared" si="0"/>
        <v>272.55</v>
      </c>
      <c r="M19" s="409">
        <v>220</v>
      </c>
      <c r="N19" s="410">
        <f t="shared" si="3"/>
        <v>1.2388636363636365</v>
      </c>
    </row>
    <row r="20" spans="1:14" ht="15.75" hidden="1" outlineLevel="1" thickBot="1">
      <c r="A20" s="401" t="s">
        <v>24</v>
      </c>
      <c r="B20" s="402"/>
      <c r="C20" s="416">
        <f>SUM(C8:C19)</f>
        <v>39915.619999999995</v>
      </c>
      <c r="D20" s="416">
        <f>SUM(D8:D19)</f>
        <v>1680.8417989999998</v>
      </c>
      <c r="E20" s="416">
        <f>SUM(E8:E19)</f>
        <v>41596.46179899999</v>
      </c>
      <c r="F20" s="417">
        <f>SUM(F8:F19)</f>
        <v>214800</v>
      </c>
      <c r="G20" s="418">
        <f>E20/F20</f>
        <v>0.19365205679236494</v>
      </c>
      <c r="H20" s="402"/>
      <c r="J20" s="416">
        <f>SUM(J8:J19)</f>
        <v>3244.1200000000008</v>
      </c>
      <c r="K20" s="416">
        <f>SUM(K8:K19)</f>
        <v>289.71000000000004</v>
      </c>
      <c r="L20" s="416">
        <f>SUM(L8:L19)</f>
        <v>3533.8300000000008</v>
      </c>
      <c r="M20" s="417">
        <f>SUM(M8:M19)</f>
        <v>2538</v>
      </c>
      <c r="N20" s="419">
        <f>L20/M20</f>
        <v>1.3923680063041768</v>
      </c>
    </row>
    <row r="21" spans="1:14" ht="15.75" hidden="1" outlineLevel="1" thickTop="1"/>
    <row r="22" spans="1:14" hidden="1" outlineLevel="1">
      <c r="A22" s="402"/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</row>
    <row r="23" spans="1:14" ht="15.75" hidden="1" outlineLevel="1">
      <c r="A23" s="401"/>
      <c r="B23" s="401"/>
      <c r="C23" s="603" t="str">
        <f>+$C$6</f>
        <v>Electric-A/C # 42-5037-1493-1111-6 EL9</v>
      </c>
      <c r="D23" s="603"/>
      <c r="E23" s="603"/>
      <c r="F23" s="603"/>
      <c r="G23" s="603"/>
      <c r="H23" s="402"/>
      <c r="J23" s="601" t="s">
        <v>519</v>
      </c>
      <c r="K23" s="601"/>
      <c r="L23" s="601"/>
      <c r="M23" s="601"/>
      <c r="N23" s="601"/>
    </row>
    <row r="24" spans="1:14" hidden="1" outlineLevel="1">
      <c r="A24" s="404">
        <v>2012</v>
      </c>
      <c r="B24" s="401"/>
      <c r="C24" s="420" t="s">
        <v>391</v>
      </c>
      <c r="D24" s="420" t="s">
        <v>392</v>
      </c>
      <c r="E24" s="420" t="s">
        <v>24</v>
      </c>
      <c r="F24" s="420" t="s">
        <v>307</v>
      </c>
      <c r="G24" s="420" t="s">
        <v>393</v>
      </c>
      <c r="H24" s="421"/>
      <c r="I24" s="422"/>
      <c r="J24" s="420" t="s">
        <v>391</v>
      </c>
      <c r="K24" s="420" t="s">
        <v>392</v>
      </c>
      <c r="L24" s="423" t="s">
        <v>24</v>
      </c>
      <c r="M24" s="423" t="s">
        <v>319</v>
      </c>
      <c r="N24" s="424" t="s">
        <v>394</v>
      </c>
    </row>
    <row r="25" spans="1:14" hidden="1" outlineLevel="1">
      <c r="A25" s="401" t="s">
        <v>316</v>
      </c>
      <c r="B25" s="408"/>
      <c r="C25" s="402">
        <v>1759.4</v>
      </c>
      <c r="D25" s="323">
        <f>1150.59*1.07015</f>
        <v>1231.3038884999999</v>
      </c>
      <c r="E25" s="323">
        <f>SUM(C25:D25)</f>
        <v>2990.7038885000002</v>
      </c>
      <c r="F25" s="409">
        <v>17600</v>
      </c>
      <c r="G25" s="160">
        <f>E25/F25</f>
        <v>0.16992635730113637</v>
      </c>
      <c r="H25" s="402"/>
      <c r="J25" s="402">
        <v>200.09</v>
      </c>
      <c r="K25" s="402">
        <v>129.13</v>
      </c>
      <c r="L25" s="402">
        <f t="shared" ref="L25:L34" si="5">SUM(J25:K25)</f>
        <v>329.22</v>
      </c>
      <c r="M25" s="409">
        <v>277</v>
      </c>
      <c r="N25" s="410">
        <f>L25/M25</f>
        <v>1.188519855595668</v>
      </c>
    </row>
    <row r="26" spans="1:14" hidden="1" outlineLevel="1">
      <c r="A26" s="401" t="s">
        <v>308</v>
      </c>
      <c r="B26" s="401"/>
      <c r="C26" s="6">
        <v>1401.71</v>
      </c>
      <c r="D26" s="6">
        <v>816.1</v>
      </c>
      <c r="E26" s="6">
        <f t="shared" ref="E26:E34" si="6">SUM(C26:D26)</f>
        <v>2217.81</v>
      </c>
      <c r="F26" s="409">
        <v>14400</v>
      </c>
      <c r="G26" s="160">
        <f t="shared" ref="G26:G36" si="7">E26/F26</f>
        <v>0.15401458333333332</v>
      </c>
      <c r="H26" s="402"/>
      <c r="J26" s="6">
        <v>178.76</v>
      </c>
      <c r="K26" s="6">
        <v>105.27</v>
      </c>
      <c r="L26" s="6">
        <f t="shared" si="5"/>
        <v>284.02999999999997</v>
      </c>
      <c r="M26" s="409">
        <v>248</v>
      </c>
      <c r="N26" s="410">
        <f t="shared" ref="N26:N36" si="8">L26/M26</f>
        <v>1.1452822580645161</v>
      </c>
    </row>
    <row r="27" spans="1:14" hidden="1" outlineLevel="1">
      <c r="A27" s="401" t="s">
        <v>309</v>
      </c>
      <c r="B27" s="401"/>
      <c r="C27" s="6">
        <v>1451.39</v>
      </c>
      <c r="D27" s="6">
        <v>682.51</v>
      </c>
      <c r="E27" s="409">
        <f t="shared" si="6"/>
        <v>2133.9</v>
      </c>
      <c r="F27" s="6">
        <v>12800</v>
      </c>
      <c r="G27" s="160">
        <f t="shared" si="7"/>
        <v>0.16671093750000002</v>
      </c>
      <c r="H27" s="402"/>
      <c r="J27" s="6">
        <v>172.65</v>
      </c>
      <c r="K27" s="6">
        <v>92.58</v>
      </c>
      <c r="L27" s="6">
        <f t="shared" si="5"/>
        <v>265.23</v>
      </c>
      <c r="M27" s="409">
        <v>234</v>
      </c>
      <c r="N27" s="410">
        <f t="shared" si="8"/>
        <v>1.1334615384615385</v>
      </c>
    </row>
    <row r="28" spans="1:14" hidden="1" outlineLevel="1">
      <c r="A28" s="401" t="s">
        <v>310</v>
      </c>
      <c r="B28" s="401"/>
      <c r="C28" s="6">
        <v>1396.86</v>
      </c>
      <c r="D28" s="6">
        <v>519.48</v>
      </c>
      <c r="E28" s="409">
        <f t="shared" si="6"/>
        <v>1916.34</v>
      </c>
      <c r="F28" s="409">
        <v>10000</v>
      </c>
      <c r="G28" s="160">
        <f t="shared" si="7"/>
        <v>0.191634</v>
      </c>
      <c r="H28" s="402"/>
      <c r="J28" s="6">
        <v>165.15</v>
      </c>
      <c r="K28" s="6">
        <v>82.45</v>
      </c>
      <c r="L28" s="6">
        <f t="shared" si="5"/>
        <v>247.60000000000002</v>
      </c>
      <c r="M28" s="409">
        <v>223</v>
      </c>
      <c r="N28" s="410">
        <f t="shared" si="8"/>
        <v>1.1103139013452916</v>
      </c>
    </row>
    <row r="29" spans="1:14" hidden="1" outlineLevel="1">
      <c r="A29" s="401" t="s">
        <v>86</v>
      </c>
      <c r="B29" s="401"/>
      <c r="C29" s="6">
        <v>1427.18</v>
      </c>
      <c r="D29" s="6">
        <v>594.97</v>
      </c>
      <c r="E29" s="409">
        <f t="shared" si="6"/>
        <v>2022.15</v>
      </c>
      <c r="F29" s="409">
        <v>11600</v>
      </c>
      <c r="G29" s="160">
        <f t="shared" si="7"/>
        <v>0.17432327586206897</v>
      </c>
      <c r="H29" s="402"/>
      <c r="J29" s="6">
        <v>164.64</v>
      </c>
      <c r="K29" s="6">
        <v>78.209999999999994</v>
      </c>
      <c r="L29" s="6">
        <f t="shared" si="5"/>
        <v>242.84999999999997</v>
      </c>
      <c r="M29" s="409">
        <v>222</v>
      </c>
      <c r="N29" s="410">
        <f t="shared" si="8"/>
        <v>1.0939189189189187</v>
      </c>
    </row>
    <row r="30" spans="1:14" hidden="1" outlineLevel="1">
      <c r="A30" s="401" t="s">
        <v>320</v>
      </c>
      <c r="B30" s="401"/>
      <c r="C30" s="6">
        <v>1956.93</v>
      </c>
      <c r="D30" s="6">
        <v>989.03</v>
      </c>
      <c r="E30" s="409">
        <f t="shared" si="6"/>
        <v>2945.96</v>
      </c>
      <c r="F30" s="409">
        <v>14800</v>
      </c>
      <c r="G30" s="160">
        <f t="shared" si="7"/>
        <v>0.19905135135135135</v>
      </c>
      <c r="H30" s="402"/>
      <c r="J30" s="6">
        <v>145.66</v>
      </c>
      <c r="K30" s="6">
        <v>69.36</v>
      </c>
      <c r="L30" s="6">
        <f t="shared" si="5"/>
        <v>215.01999999999998</v>
      </c>
      <c r="M30" s="409">
        <v>183</v>
      </c>
      <c r="N30" s="410">
        <f t="shared" si="8"/>
        <v>1.1749726775956284</v>
      </c>
    </row>
    <row r="31" spans="1:14" hidden="1" outlineLevel="1">
      <c r="A31" s="401" t="s">
        <v>311</v>
      </c>
      <c r="B31" s="401"/>
      <c r="C31" s="6">
        <v>2747.69</v>
      </c>
      <c r="D31" s="6">
        <v>1886.5</v>
      </c>
      <c r="E31" s="409">
        <f t="shared" si="6"/>
        <v>4634.1900000000005</v>
      </c>
      <c r="F31" s="409">
        <v>24400</v>
      </c>
      <c r="G31" s="160">
        <f t="shared" si="7"/>
        <v>0.18992581967213118</v>
      </c>
      <c r="H31" s="402"/>
      <c r="J31" s="6">
        <v>139.11000000000001</v>
      </c>
      <c r="K31" s="6">
        <v>67.150000000000006</v>
      </c>
      <c r="L31" s="6">
        <f t="shared" si="5"/>
        <v>206.26000000000002</v>
      </c>
      <c r="M31" s="409">
        <v>161</v>
      </c>
      <c r="N31" s="410">
        <f t="shared" si="8"/>
        <v>1.2811180124223605</v>
      </c>
    </row>
    <row r="32" spans="1:14" hidden="1" outlineLevel="1">
      <c r="A32" s="401" t="s">
        <v>312</v>
      </c>
      <c r="B32" s="401"/>
      <c r="C32" s="6">
        <v>2166.5500000000002</v>
      </c>
      <c r="D32" s="6">
        <v>1362.29</v>
      </c>
      <c r="E32" s="409">
        <f t="shared" si="6"/>
        <v>3528.84</v>
      </c>
      <c r="F32" s="409">
        <v>19200</v>
      </c>
      <c r="G32" s="160">
        <f t="shared" si="7"/>
        <v>0.18379375000000001</v>
      </c>
      <c r="H32" s="402"/>
      <c r="J32" s="6">
        <v>126.63</v>
      </c>
      <c r="K32" s="6">
        <v>64.94</v>
      </c>
      <c r="L32" s="6">
        <f t="shared" si="5"/>
        <v>191.57</v>
      </c>
      <c r="M32" s="409">
        <v>146</v>
      </c>
      <c r="N32" s="410">
        <f t="shared" si="8"/>
        <v>1.3121232876712328</v>
      </c>
    </row>
    <row r="33" spans="1:14" hidden="1" outlineLevel="1">
      <c r="A33" s="401" t="s">
        <v>313</v>
      </c>
      <c r="B33" s="401"/>
      <c r="C33" s="6">
        <v>2295.37</v>
      </c>
      <c r="D33" s="6">
        <v>1317.37</v>
      </c>
      <c r="E33" s="409">
        <f t="shared" si="6"/>
        <v>3612.74</v>
      </c>
      <c r="F33" s="409">
        <v>20800</v>
      </c>
      <c r="G33" s="160">
        <f t="shared" si="7"/>
        <v>0.17368942307692306</v>
      </c>
      <c r="H33" s="402"/>
      <c r="J33" s="6">
        <f>136.82</f>
        <v>136.82</v>
      </c>
      <c r="K33" s="6">
        <v>69.41</v>
      </c>
      <c r="L33" s="6">
        <f t="shared" si="5"/>
        <v>206.23</v>
      </c>
      <c r="M33" s="409">
        <f>164</f>
        <v>164</v>
      </c>
      <c r="N33" s="410">
        <f t="shared" si="8"/>
        <v>1.2574999999999998</v>
      </c>
    </row>
    <row r="34" spans="1:14" hidden="1" outlineLevel="1">
      <c r="A34" s="425" t="s">
        <v>314</v>
      </c>
      <c r="B34" s="426"/>
      <c r="C34" s="427">
        <v>1555.26</v>
      </c>
      <c r="D34" s="6">
        <v>849.11</v>
      </c>
      <c r="E34" s="409">
        <f t="shared" si="6"/>
        <v>2404.37</v>
      </c>
      <c r="F34" s="409">
        <v>14000</v>
      </c>
      <c r="G34" s="160">
        <f t="shared" si="7"/>
        <v>0.17174071428571427</v>
      </c>
      <c r="H34" s="428"/>
      <c r="I34" s="296"/>
      <c r="J34" s="429">
        <f>122.6+44.76</f>
        <v>167.35999999999999</v>
      </c>
      <c r="K34" s="6">
        <f>22.62+23.76+46.1</f>
        <v>92.48</v>
      </c>
      <c r="L34" s="429">
        <f t="shared" si="5"/>
        <v>259.83999999999997</v>
      </c>
      <c r="M34" s="430">
        <f>148+55</f>
        <v>203</v>
      </c>
      <c r="N34" s="410">
        <f t="shared" si="8"/>
        <v>1.2799999999999998</v>
      </c>
    </row>
    <row r="35" spans="1:14" hidden="1" outlineLevel="1">
      <c r="A35" s="401" t="s">
        <v>315</v>
      </c>
      <c r="B35" s="401"/>
      <c r="C35" s="74">
        <v>1305.02</v>
      </c>
      <c r="D35" s="6">
        <v>1079.19</v>
      </c>
      <c r="E35" s="409">
        <f t="shared" ref="E35:E36" si="9">SUM(C35:D35)</f>
        <v>2384.21</v>
      </c>
      <c r="F35" s="413">
        <v>14400</v>
      </c>
      <c r="G35" s="160">
        <f t="shared" si="7"/>
        <v>0.16557013888888888</v>
      </c>
      <c r="H35" s="402"/>
      <c r="J35" s="6">
        <v>174.33</v>
      </c>
      <c r="K35" s="6">
        <f>35.66+69.86</f>
        <v>105.52</v>
      </c>
      <c r="L35" s="6">
        <f t="shared" ref="L35:L36" si="10">SUM(J35:K35)</f>
        <v>279.85000000000002</v>
      </c>
      <c r="M35" s="409">
        <v>217</v>
      </c>
      <c r="N35" s="410">
        <f t="shared" si="8"/>
        <v>1.2896313364055301</v>
      </c>
    </row>
    <row r="36" spans="1:14" hidden="1" outlineLevel="1">
      <c r="A36" s="401" t="s">
        <v>321</v>
      </c>
      <c r="B36" s="401"/>
      <c r="C36" s="414">
        <v>1502.98</v>
      </c>
      <c r="D36" s="6">
        <v>1228.3800000000001</v>
      </c>
      <c r="E36" s="409">
        <f t="shared" si="9"/>
        <v>2731.36</v>
      </c>
      <c r="F36" s="415">
        <v>15600</v>
      </c>
      <c r="G36" s="160">
        <f t="shared" si="7"/>
        <v>0.1750871794871795</v>
      </c>
      <c r="H36" s="402"/>
      <c r="J36" s="6">
        <v>176.28</v>
      </c>
      <c r="K36" s="6">
        <f>37.92+76.4</f>
        <v>114.32000000000001</v>
      </c>
      <c r="L36" s="6">
        <f t="shared" si="10"/>
        <v>290.60000000000002</v>
      </c>
      <c r="M36" s="409">
        <v>221</v>
      </c>
      <c r="N36" s="410">
        <f t="shared" si="8"/>
        <v>1.3149321266968328</v>
      </c>
    </row>
    <row r="37" spans="1:14" ht="15.75" hidden="1" outlineLevel="1" thickBot="1">
      <c r="A37" s="401" t="s">
        <v>24</v>
      </c>
      <c r="B37" s="402"/>
      <c r="C37" s="416">
        <f>SUM(C25:C36)</f>
        <v>20966.339999999997</v>
      </c>
      <c r="D37" s="416">
        <f>SUM(D25:D36)</f>
        <v>12556.233888499999</v>
      </c>
      <c r="E37" s="416">
        <f>SUM(E25:E36)</f>
        <v>33522.573888499996</v>
      </c>
      <c r="F37" s="417">
        <f>SUM(F25:F36)</f>
        <v>189600</v>
      </c>
      <c r="G37" s="418">
        <f>E37/F37</f>
        <v>0.17680682430643457</v>
      </c>
      <c r="H37" s="402"/>
      <c r="J37" s="416">
        <f>SUM(J25:J36)</f>
        <v>1947.4799999999998</v>
      </c>
      <c r="K37" s="416">
        <f>SUM(K25:K36)</f>
        <v>1070.82</v>
      </c>
      <c r="L37" s="416">
        <f>SUM(L25:L36)</f>
        <v>3018.2999999999997</v>
      </c>
      <c r="M37" s="417">
        <f>SUM(M25:M36)</f>
        <v>2499</v>
      </c>
      <c r="N37" s="419">
        <f>L37/M37</f>
        <v>1.2078031212484992</v>
      </c>
    </row>
    <row r="38" spans="1:14" ht="15.75" hidden="1" outlineLevel="1" thickTop="1">
      <c r="A38" s="401"/>
      <c r="B38" s="401"/>
      <c r="C38" s="402"/>
      <c r="D38" s="402"/>
      <c r="E38" s="409"/>
      <c r="F38" s="409"/>
      <c r="G38" s="409"/>
      <c r="H38" s="402"/>
      <c r="J38" s="402"/>
      <c r="K38" s="402"/>
      <c r="L38" s="402"/>
      <c r="M38" s="409"/>
      <c r="N38" s="410"/>
    </row>
    <row r="39" spans="1:14" collapsed="1">
      <c r="A39" s="401"/>
      <c r="B39" s="401"/>
      <c r="C39" s="402"/>
      <c r="D39" s="402"/>
      <c r="E39" s="409"/>
      <c r="F39" s="409"/>
      <c r="G39" s="409"/>
      <c r="H39" s="402"/>
      <c r="J39" s="402"/>
      <c r="K39" s="402"/>
      <c r="L39" s="402"/>
      <c r="M39" s="409"/>
      <c r="N39" s="410"/>
    </row>
    <row r="40" spans="1:14" ht="15.75">
      <c r="A40" s="401"/>
      <c r="B40" s="401"/>
      <c r="C40" s="603" t="str">
        <f>+$C$6</f>
        <v>Electric-A/C # 42-5037-1493-1111-6 EL9</v>
      </c>
      <c r="D40" s="603"/>
      <c r="E40" s="603"/>
      <c r="F40" s="603"/>
      <c r="G40" s="603"/>
      <c r="H40" s="402"/>
      <c r="J40" s="601" t="s">
        <v>519</v>
      </c>
      <c r="K40" s="601"/>
      <c r="L40" s="601"/>
      <c r="M40" s="601"/>
      <c r="N40" s="601"/>
    </row>
    <row r="41" spans="1:14">
      <c r="A41" s="404">
        <v>2013</v>
      </c>
      <c r="B41" s="401"/>
      <c r="C41" s="420" t="s">
        <v>391</v>
      </c>
      <c r="D41" s="420" t="s">
        <v>392</v>
      </c>
      <c r="E41" s="420" t="s">
        <v>24</v>
      </c>
      <c r="F41" s="420" t="s">
        <v>307</v>
      </c>
      <c r="G41" s="420" t="s">
        <v>393</v>
      </c>
      <c r="H41" s="421"/>
      <c r="I41" s="422"/>
      <c r="J41" s="420" t="s">
        <v>391</v>
      </c>
      <c r="K41" s="420" t="s">
        <v>392</v>
      </c>
      <c r="L41" s="423" t="s">
        <v>24</v>
      </c>
      <c r="M41" s="423" t="s">
        <v>319</v>
      </c>
      <c r="N41" s="424" t="s">
        <v>394</v>
      </c>
    </row>
    <row r="42" spans="1:14">
      <c r="A42" s="401" t="s">
        <v>316</v>
      </c>
      <c r="B42" s="408"/>
      <c r="C42" s="402">
        <v>1583.75</v>
      </c>
      <c r="D42" s="323">
        <v>1822.77</v>
      </c>
      <c r="E42" s="323">
        <f>SUM(C42:D42)</f>
        <v>3406.52</v>
      </c>
      <c r="F42" s="413">
        <v>18400</v>
      </c>
      <c r="G42" s="160">
        <f>E42/F42</f>
        <v>0.18513695652173914</v>
      </c>
      <c r="H42" s="402"/>
      <c r="J42" s="402">
        <v>216.06</v>
      </c>
      <c r="K42" s="402">
        <f>41.1+96.56</f>
        <v>137.66</v>
      </c>
      <c r="L42" s="402">
        <f t="shared" ref="L42:L53" si="11">SUM(J42:K42)</f>
        <v>353.72</v>
      </c>
      <c r="M42" s="409">
        <v>276</v>
      </c>
      <c r="N42" s="410">
        <f>L42/M42</f>
        <v>1.2815942028985507</v>
      </c>
    </row>
    <row r="43" spans="1:14">
      <c r="A43" s="401" t="s">
        <v>308</v>
      </c>
      <c r="B43" s="401"/>
      <c r="C43" s="6">
        <v>1926.46</v>
      </c>
      <c r="D43" s="6">
        <v>3117.99</v>
      </c>
      <c r="E43" s="409">
        <f t="shared" ref="E43:E53" si="12">SUM(C43:D43)</f>
        <v>5044.45</v>
      </c>
      <c r="F43" s="413">
        <v>22400</v>
      </c>
      <c r="G43" s="160">
        <f t="shared" ref="G43:G53" si="13">E43/F43</f>
        <v>0.22519866071428571</v>
      </c>
      <c r="H43" s="402"/>
      <c r="J43" s="6">
        <v>216.02</v>
      </c>
      <c r="K43" s="427">
        <f>38.83+94.8</f>
        <v>133.63</v>
      </c>
      <c r="L43" s="6">
        <f t="shared" si="11"/>
        <v>349.65</v>
      </c>
      <c r="M43" s="409">
        <v>280</v>
      </c>
      <c r="N43" s="410">
        <f t="shared" ref="N43:N53" si="14">L43/M43</f>
        <v>1.24875</v>
      </c>
    </row>
    <row r="44" spans="1:14">
      <c r="A44" s="401" t="s">
        <v>309</v>
      </c>
      <c r="B44" s="401"/>
      <c r="C44" s="6">
        <v>1391.26</v>
      </c>
      <c r="D44" s="6">
        <v>1477.65</v>
      </c>
      <c r="E44" s="409">
        <f t="shared" si="12"/>
        <v>2868.91</v>
      </c>
      <c r="F44" s="413">
        <v>18400</v>
      </c>
      <c r="G44" s="160">
        <f t="shared" si="13"/>
        <v>0.15591902173913041</v>
      </c>
      <c r="H44" s="402"/>
      <c r="J44" s="6">
        <v>197.36</v>
      </c>
      <c r="K44" s="427">
        <f>36.59+89.82</f>
        <v>126.41</v>
      </c>
      <c r="L44" s="6">
        <f t="shared" si="11"/>
        <v>323.77</v>
      </c>
      <c r="M44" s="409">
        <v>256</v>
      </c>
      <c r="N44" s="410">
        <f t="shared" si="14"/>
        <v>1.2647265624999999</v>
      </c>
    </row>
    <row r="45" spans="1:14">
      <c r="A45" s="401" t="s">
        <v>310</v>
      </c>
      <c r="B45" s="401"/>
      <c r="C45" s="6">
        <v>1261.73</v>
      </c>
      <c r="D45" s="6">
        <v>985.29</v>
      </c>
      <c r="E45" s="409">
        <f t="shared" si="12"/>
        <v>2247.02</v>
      </c>
      <c r="F45" s="413">
        <v>13200</v>
      </c>
      <c r="G45" s="160">
        <f t="shared" si="13"/>
        <v>0.17022878787878787</v>
      </c>
      <c r="H45" s="402"/>
      <c r="J45" s="6">
        <v>183.96</v>
      </c>
      <c r="K45" s="427">
        <f>38.16+88.62</f>
        <v>126.78</v>
      </c>
      <c r="L45" s="6">
        <f t="shared" si="11"/>
        <v>310.74</v>
      </c>
      <c r="M45" s="409">
        <v>233</v>
      </c>
      <c r="N45" s="410">
        <f t="shared" si="14"/>
        <v>1.333648068669528</v>
      </c>
    </row>
    <row r="46" spans="1:14">
      <c r="A46" s="401" t="s">
        <v>86</v>
      </c>
      <c r="B46" s="401"/>
      <c r="C46" s="6">
        <v>1679.19</v>
      </c>
      <c r="D46" s="6">
        <v>1113.9000000000001</v>
      </c>
      <c r="E46" s="409">
        <f t="shared" si="12"/>
        <v>2793.09</v>
      </c>
      <c r="F46" s="413">
        <v>14800</v>
      </c>
      <c r="G46" s="160">
        <f t="shared" si="13"/>
        <v>0.18872229729729731</v>
      </c>
      <c r="H46" s="402"/>
      <c r="J46" s="6">
        <v>168.49</v>
      </c>
      <c r="K46" s="427">
        <f>38.05+78.46</f>
        <v>116.50999999999999</v>
      </c>
      <c r="L46" s="6">
        <f t="shared" si="11"/>
        <v>285</v>
      </c>
      <c r="M46" s="409">
        <v>205</v>
      </c>
      <c r="N46" s="410">
        <f t="shared" si="14"/>
        <v>1.3902439024390243</v>
      </c>
    </row>
    <row r="47" spans="1:14">
      <c r="A47" s="401" t="s">
        <v>320</v>
      </c>
      <c r="B47" s="401"/>
      <c r="C47" s="6">
        <v>2153.5300000000002</v>
      </c>
      <c r="D47" s="6">
        <v>1525.02</v>
      </c>
      <c r="E47" s="409">
        <f t="shared" si="12"/>
        <v>3678.55</v>
      </c>
      <c r="F47" s="413">
        <v>20000</v>
      </c>
      <c r="G47" s="160">
        <f t="shared" si="13"/>
        <v>0.18392750000000002</v>
      </c>
      <c r="H47" s="402"/>
      <c r="J47" s="6">
        <v>168.86</v>
      </c>
      <c r="K47" s="427">
        <f>40.03+78.38</f>
        <v>118.41</v>
      </c>
      <c r="L47" s="6">
        <f t="shared" si="11"/>
        <v>287.27</v>
      </c>
      <c r="M47" s="409">
        <v>207</v>
      </c>
      <c r="N47" s="410">
        <f t="shared" si="14"/>
        <v>1.3877777777777778</v>
      </c>
    </row>
    <row r="48" spans="1:14">
      <c r="A48" s="401" t="s">
        <v>311</v>
      </c>
      <c r="B48" s="401"/>
      <c r="C48" s="6">
        <v>2863.86</v>
      </c>
      <c r="D48" s="6">
        <v>2395.9899999999998</v>
      </c>
      <c r="E48" s="409">
        <f t="shared" si="12"/>
        <v>5259.85</v>
      </c>
      <c r="F48" s="413">
        <v>24400</v>
      </c>
      <c r="G48" s="160">
        <f t="shared" si="13"/>
        <v>0.21556762295081969</v>
      </c>
      <c r="H48" s="402"/>
      <c r="J48" s="6">
        <v>144.32</v>
      </c>
      <c r="K48" s="427">
        <f>30.19+53.24</f>
        <v>83.43</v>
      </c>
      <c r="L48" s="6">
        <f t="shared" si="11"/>
        <v>227.75</v>
      </c>
      <c r="M48" s="409">
        <v>156</v>
      </c>
      <c r="N48" s="410">
        <f t="shared" si="14"/>
        <v>1.4599358974358974</v>
      </c>
    </row>
    <row r="49" spans="1:14">
      <c r="A49" s="401" t="s">
        <v>312</v>
      </c>
      <c r="B49" s="401"/>
      <c r="C49" s="6">
        <v>2329.14</v>
      </c>
      <c r="D49" s="6">
        <v>1628.13</v>
      </c>
      <c r="E49" s="409">
        <f t="shared" si="12"/>
        <v>3957.27</v>
      </c>
      <c r="F49" s="413">
        <v>22400</v>
      </c>
      <c r="G49" s="160">
        <f t="shared" si="13"/>
        <v>0.17666383928571427</v>
      </c>
      <c r="H49" s="402"/>
      <c r="J49" s="6">
        <v>143.06</v>
      </c>
      <c r="K49" s="427">
        <f>28.54+51.34</f>
        <v>79.88</v>
      </c>
      <c r="L49" s="6">
        <f t="shared" si="11"/>
        <v>222.94</v>
      </c>
      <c r="M49" s="409">
        <v>158</v>
      </c>
      <c r="N49" s="410">
        <f t="shared" si="14"/>
        <v>1.4110126582278482</v>
      </c>
    </row>
    <row r="50" spans="1:14">
      <c r="A50" s="401" t="s">
        <v>313</v>
      </c>
      <c r="B50" s="401"/>
      <c r="C50" s="6">
        <v>2809.86</v>
      </c>
      <c r="D50" s="6">
        <v>1605.84</v>
      </c>
      <c r="E50" s="409">
        <f t="shared" si="12"/>
        <v>4415.7</v>
      </c>
      <c r="F50" s="413">
        <v>21600</v>
      </c>
      <c r="G50" s="160">
        <f t="shared" si="13"/>
        <v>0.20443055555555556</v>
      </c>
      <c r="H50" s="402"/>
      <c r="J50" s="6">
        <v>159.4</v>
      </c>
      <c r="K50" s="427">
        <f>31.35+58.98</f>
        <v>90.33</v>
      </c>
      <c r="L50" s="6">
        <f t="shared" si="11"/>
        <v>249.73000000000002</v>
      </c>
      <c r="M50" s="409">
        <v>178</v>
      </c>
      <c r="N50" s="410">
        <f t="shared" si="14"/>
        <v>1.4029775280898877</v>
      </c>
    </row>
    <row r="51" spans="1:14" s="296" customFormat="1">
      <c r="A51" s="425" t="s">
        <v>314</v>
      </c>
      <c r="B51" s="426"/>
      <c r="C51" s="6">
        <v>1469.05</v>
      </c>
      <c r="D51" s="6">
        <v>882.74</v>
      </c>
      <c r="E51" s="430">
        <f t="shared" si="12"/>
        <v>2351.79</v>
      </c>
      <c r="F51" s="413">
        <v>13200</v>
      </c>
      <c r="G51" s="160">
        <f t="shared" si="13"/>
        <v>0.1781659090909091</v>
      </c>
      <c r="H51" s="431"/>
      <c r="I51" s="179"/>
      <c r="J51" s="6">
        <v>158.38999999999999</v>
      </c>
      <c r="K51" s="427">
        <f>30.13+61.58</f>
        <v>91.71</v>
      </c>
      <c r="L51" s="429">
        <f t="shared" si="11"/>
        <v>250.09999999999997</v>
      </c>
      <c r="M51" s="409">
        <v>191</v>
      </c>
      <c r="N51" s="410">
        <f t="shared" si="14"/>
        <v>1.3094240837696334</v>
      </c>
    </row>
    <row r="52" spans="1:14" s="179" customFormat="1">
      <c r="A52" s="425" t="s">
        <v>315</v>
      </c>
      <c r="B52" s="432" t="s">
        <v>361</v>
      </c>
      <c r="C52" s="427">
        <v>1140.68</v>
      </c>
      <c r="D52" s="427">
        <v>994.29</v>
      </c>
      <c r="E52" s="430">
        <f t="shared" si="12"/>
        <v>2134.9700000000003</v>
      </c>
      <c r="F52" s="427">
        <v>12000</v>
      </c>
      <c r="G52" s="160">
        <f t="shared" si="13"/>
        <v>0.17791416666666668</v>
      </c>
      <c r="H52" s="431"/>
      <c r="J52" s="427">
        <v>177.58</v>
      </c>
      <c r="K52" s="427">
        <f>30.67+72.1</f>
        <v>102.77</v>
      </c>
      <c r="L52" s="429">
        <f t="shared" si="11"/>
        <v>280.35000000000002</v>
      </c>
      <c r="M52" s="427">
        <v>217</v>
      </c>
      <c r="N52" s="410">
        <f t="shared" si="14"/>
        <v>1.2919354838709678</v>
      </c>
    </row>
    <row r="53" spans="1:14" s="179" customFormat="1">
      <c r="A53" s="425" t="s">
        <v>321</v>
      </c>
      <c r="B53" s="432" t="s">
        <v>361</v>
      </c>
      <c r="C53" s="433">
        <v>1359.2</v>
      </c>
      <c r="D53" s="433">
        <v>1639.13</v>
      </c>
      <c r="E53" s="434">
        <f t="shared" si="12"/>
        <v>2998.33</v>
      </c>
      <c r="F53" s="433">
        <v>15200</v>
      </c>
      <c r="G53" s="160">
        <f t="shared" si="13"/>
        <v>0.19725855263157893</v>
      </c>
      <c r="H53" s="431"/>
      <c r="J53" s="427">
        <f>208.96+41.36</f>
        <v>250.32</v>
      </c>
      <c r="K53" s="427">
        <f>48.33+105.5</f>
        <v>153.82999999999998</v>
      </c>
      <c r="L53" s="429">
        <f t="shared" si="11"/>
        <v>404.15</v>
      </c>
      <c r="M53" s="427">
        <f>263+45</f>
        <v>308</v>
      </c>
      <c r="N53" s="410">
        <f t="shared" si="14"/>
        <v>1.3121753246753245</v>
      </c>
    </row>
    <row r="54" spans="1:14" ht="15.75" thickBot="1">
      <c r="A54" s="401" t="s">
        <v>24</v>
      </c>
      <c r="B54" s="401"/>
      <c r="C54" s="435">
        <f>SUM(C42:C53)</f>
        <v>21967.710000000003</v>
      </c>
      <c r="D54" s="435">
        <f>SUM(D42:D53)</f>
        <v>19188.740000000005</v>
      </c>
      <c r="E54" s="435">
        <f>SUM(E42:E53)</f>
        <v>41156.450000000004</v>
      </c>
      <c r="F54" s="436">
        <f>SUM(F42:F53)</f>
        <v>216000</v>
      </c>
      <c r="G54" s="418">
        <f>E54/F54</f>
        <v>0.19053912037037038</v>
      </c>
      <c r="H54" s="402"/>
      <c r="J54" s="416">
        <f>SUM(J42:J53)</f>
        <v>2183.8200000000002</v>
      </c>
      <c r="K54" s="416">
        <f>SUM(K42:K53)</f>
        <v>1361.35</v>
      </c>
      <c r="L54" s="416">
        <f>SUM(L42:L53)</f>
        <v>3545.1699999999996</v>
      </c>
      <c r="M54" s="417">
        <f>SUM(M42:M53)</f>
        <v>2665</v>
      </c>
      <c r="N54" s="419">
        <f>L54/M54</f>
        <v>1.3302701688555345</v>
      </c>
    </row>
    <row r="55" spans="1:14" ht="15.75" thickTop="1">
      <c r="B55" s="401"/>
      <c r="C55" s="401"/>
      <c r="D55" s="401"/>
      <c r="E55" s="401"/>
      <c r="F55" s="401"/>
      <c r="G55" s="401"/>
      <c r="H55" s="402"/>
      <c r="J55" s="437"/>
      <c r="K55" s="437"/>
      <c r="L55" s="437"/>
      <c r="M55" s="413"/>
      <c r="N55" s="410"/>
    </row>
    <row r="56" spans="1:14">
      <c r="B56" s="401"/>
      <c r="C56" s="401"/>
      <c r="D56" s="401"/>
      <c r="E56" s="401"/>
      <c r="F56" s="401"/>
      <c r="G56" s="401"/>
      <c r="H56" s="402"/>
      <c r="J56" s="437"/>
      <c r="K56" s="437"/>
      <c r="L56" s="437"/>
      <c r="M56" s="413"/>
      <c r="N56" s="410"/>
    </row>
    <row r="57" spans="1:14" ht="15.75">
      <c r="A57" s="438"/>
      <c r="B57" s="401"/>
      <c r="C57" s="603" t="str">
        <f>+$C$6</f>
        <v>Electric-A/C # 42-5037-1493-1111-6 EL9</v>
      </c>
      <c r="D57" s="603"/>
      <c r="E57" s="603"/>
      <c r="F57" s="603"/>
      <c r="G57" s="603"/>
      <c r="H57" s="402"/>
      <c r="J57" s="601" t="s">
        <v>519</v>
      </c>
      <c r="K57" s="601"/>
      <c r="L57" s="601"/>
      <c r="M57" s="601"/>
      <c r="N57" s="601"/>
    </row>
    <row r="58" spans="1:14">
      <c r="A58" s="404">
        <v>2014</v>
      </c>
      <c r="B58" s="401"/>
      <c r="C58" s="420" t="s">
        <v>391</v>
      </c>
      <c r="D58" s="420" t="s">
        <v>392</v>
      </c>
      <c r="E58" s="420" t="s">
        <v>24</v>
      </c>
      <c r="F58" s="420" t="s">
        <v>307</v>
      </c>
      <c r="G58" s="420" t="s">
        <v>393</v>
      </c>
      <c r="H58" s="439"/>
      <c r="I58" s="422"/>
      <c r="J58" s="420" t="s">
        <v>391</v>
      </c>
      <c r="K58" s="420" t="s">
        <v>392</v>
      </c>
      <c r="L58" s="420" t="s">
        <v>24</v>
      </c>
      <c r="M58" s="423" t="s">
        <v>319</v>
      </c>
      <c r="N58" s="424" t="s">
        <v>394</v>
      </c>
    </row>
    <row r="59" spans="1:14">
      <c r="A59" s="425" t="s">
        <v>316</v>
      </c>
      <c r="B59" s="408"/>
      <c r="C59" s="323">
        <v>1371.14</v>
      </c>
      <c r="D59" s="323">
        <v>3029.56</v>
      </c>
      <c r="E59" s="323">
        <f>SUM(C59:D59)</f>
        <v>4400.7</v>
      </c>
      <c r="F59" s="409">
        <v>17200</v>
      </c>
      <c r="G59" s="440">
        <f>+E59/F59</f>
        <v>0.25585465116279071</v>
      </c>
      <c r="H59" s="402"/>
      <c r="J59" s="323">
        <v>195.17</v>
      </c>
      <c r="K59" s="323">
        <f>26.34+121.11</f>
        <v>147.44999999999999</v>
      </c>
      <c r="L59" s="441">
        <f t="shared" ref="L59:L70" si="15">SUM(J59:K59)</f>
        <v>342.62</v>
      </c>
      <c r="M59" s="409">
        <v>259</v>
      </c>
      <c r="N59" s="410">
        <f t="shared" ref="N59:N67" si="16">L59/M59</f>
        <v>1.322857142857143</v>
      </c>
    </row>
    <row r="60" spans="1:14">
      <c r="A60" s="425" t="s">
        <v>308</v>
      </c>
      <c r="B60" s="401"/>
      <c r="C60" s="6">
        <v>1007.39</v>
      </c>
      <c r="D60" s="6">
        <v>4317.41</v>
      </c>
      <c r="E60" s="409">
        <f t="shared" ref="E60:E70" si="17">SUM(C60:D60)</f>
        <v>5324.8</v>
      </c>
      <c r="F60" s="409">
        <v>19600</v>
      </c>
      <c r="G60" s="440">
        <f t="shared" ref="G60:G70" si="18">+E60/F60</f>
        <v>0.27167346938775511</v>
      </c>
      <c r="H60" s="402"/>
      <c r="J60" s="409">
        <v>257.31</v>
      </c>
      <c r="K60" s="409">
        <f>52.58+172.77</f>
        <v>225.35000000000002</v>
      </c>
      <c r="L60" s="430">
        <f t="shared" si="15"/>
        <v>482.66</v>
      </c>
      <c r="M60" s="409">
        <v>340</v>
      </c>
      <c r="N60" s="410">
        <f t="shared" si="16"/>
        <v>1.4195882352941178</v>
      </c>
    </row>
    <row r="61" spans="1:14">
      <c r="A61" s="425" t="s">
        <v>309</v>
      </c>
      <c r="B61" s="401"/>
      <c r="C61" s="6">
        <v>1286.02</v>
      </c>
      <c r="D61" s="6">
        <v>2736.63</v>
      </c>
      <c r="E61" s="409">
        <f t="shared" si="17"/>
        <v>4022.65</v>
      </c>
      <c r="F61" s="409">
        <v>15600</v>
      </c>
      <c r="G61" s="440">
        <f t="shared" si="18"/>
        <v>0.25786217948717949</v>
      </c>
      <c r="H61" s="402"/>
      <c r="J61" s="409">
        <v>238.18</v>
      </c>
      <c r="K61" s="409">
        <f>46.27+145.78</f>
        <v>192.05</v>
      </c>
      <c r="L61" s="430">
        <f t="shared" si="15"/>
        <v>430.23</v>
      </c>
      <c r="M61" s="409">
        <v>308</v>
      </c>
      <c r="N61" s="410">
        <f t="shared" si="16"/>
        <v>1.3968506493506494</v>
      </c>
    </row>
    <row r="62" spans="1:14">
      <c r="A62" s="425" t="s">
        <v>310</v>
      </c>
      <c r="B62" s="401"/>
      <c r="C62" s="6">
        <v>1119.31</v>
      </c>
      <c r="D62" s="6">
        <v>1133.32</v>
      </c>
      <c r="E62" s="409">
        <f t="shared" si="17"/>
        <v>2252.63</v>
      </c>
      <c r="F62" s="409">
        <v>12000</v>
      </c>
      <c r="G62" s="440">
        <f t="shared" si="18"/>
        <v>0.18771916666666669</v>
      </c>
      <c r="H62" s="402"/>
      <c r="J62" s="409">
        <v>217.53</v>
      </c>
      <c r="K62" s="409">
        <f>43.2+112.57</f>
        <v>155.76999999999998</v>
      </c>
      <c r="L62" s="430">
        <f t="shared" si="15"/>
        <v>373.29999999999995</v>
      </c>
      <c r="M62" s="409">
        <v>263</v>
      </c>
      <c r="N62" s="410">
        <f t="shared" si="16"/>
        <v>1.4193916349809885</v>
      </c>
    </row>
    <row r="63" spans="1:14">
      <c r="A63" s="425" t="s">
        <v>86</v>
      </c>
      <c r="B63" s="401"/>
      <c r="C63" s="6">
        <v>1463.02</v>
      </c>
      <c r="D63" s="6">
        <v>1095.33</v>
      </c>
      <c r="E63" s="409">
        <f t="shared" si="17"/>
        <v>2558.35</v>
      </c>
      <c r="F63" s="409">
        <v>18200</v>
      </c>
      <c r="G63" s="440">
        <f t="shared" si="18"/>
        <v>0.1405686813186813</v>
      </c>
      <c r="H63" s="402"/>
      <c r="J63" s="409">
        <v>210.89</v>
      </c>
      <c r="K63" s="409">
        <f>46.72+105.22</f>
        <v>151.94</v>
      </c>
      <c r="L63" s="430">
        <f t="shared" si="15"/>
        <v>362.83</v>
      </c>
      <c r="M63" s="409">
        <v>251</v>
      </c>
      <c r="N63" s="410">
        <f t="shared" si="16"/>
        <v>1.4455378486055777</v>
      </c>
    </row>
    <row r="64" spans="1:14">
      <c r="A64" s="425" t="s">
        <v>320</v>
      </c>
      <c r="B64" s="401"/>
      <c r="C64" s="6">
        <v>1874.36</v>
      </c>
      <c r="D64" s="6">
        <v>1351.45</v>
      </c>
      <c r="E64" s="409">
        <f t="shared" si="17"/>
        <v>3225.81</v>
      </c>
      <c r="F64" s="409">
        <v>16000</v>
      </c>
      <c r="G64" s="440">
        <f t="shared" si="18"/>
        <v>0.201613125</v>
      </c>
      <c r="H64" s="402"/>
      <c r="J64" s="409">
        <v>190.37</v>
      </c>
      <c r="K64" s="409">
        <f>41.71+83.42</f>
        <v>125.13</v>
      </c>
      <c r="L64" s="430">
        <f t="shared" si="15"/>
        <v>315.5</v>
      </c>
      <c r="M64" s="409">
        <v>210</v>
      </c>
      <c r="N64" s="410">
        <f t="shared" si="16"/>
        <v>1.5023809523809524</v>
      </c>
    </row>
    <row r="65" spans="1:14">
      <c r="A65" s="425" t="s">
        <v>311</v>
      </c>
      <c r="B65" s="401"/>
      <c r="C65" s="6">
        <v>1852.98</v>
      </c>
      <c r="D65" s="6">
        <v>1570.99</v>
      </c>
      <c r="E65" s="409">
        <f t="shared" si="17"/>
        <v>3423.9700000000003</v>
      </c>
      <c r="F65" s="409">
        <v>17600</v>
      </c>
      <c r="G65" s="440">
        <f t="shared" si="18"/>
        <v>0.19454375000000002</v>
      </c>
      <c r="H65" s="402"/>
      <c r="J65" s="409">
        <v>153.1</v>
      </c>
      <c r="K65" s="409">
        <f>30.58+58.78</f>
        <v>89.36</v>
      </c>
      <c r="L65" s="430">
        <f t="shared" si="15"/>
        <v>242.45999999999998</v>
      </c>
      <c r="M65" s="409">
        <v>156</v>
      </c>
      <c r="N65" s="410">
        <f t="shared" si="16"/>
        <v>1.5542307692307691</v>
      </c>
    </row>
    <row r="66" spans="1:14">
      <c r="A66" s="425" t="s">
        <v>312</v>
      </c>
      <c r="B66" s="401"/>
      <c r="C66" s="6">
        <v>1952.76</v>
      </c>
      <c r="D66" s="6">
        <v>1171.28</v>
      </c>
      <c r="E66" s="409">
        <f t="shared" si="17"/>
        <v>3124.04</v>
      </c>
      <c r="F66" s="409">
        <v>15200</v>
      </c>
      <c r="G66" s="440">
        <f t="shared" si="18"/>
        <v>0.20552894736842106</v>
      </c>
      <c r="H66" s="402"/>
      <c r="J66" s="409">
        <v>159.72</v>
      </c>
      <c r="K66" s="409">
        <f>30.09+58.56</f>
        <v>88.65</v>
      </c>
      <c r="L66" s="430">
        <f t="shared" si="15"/>
        <v>248.37</v>
      </c>
      <c r="M66" s="409">
        <v>170</v>
      </c>
      <c r="N66" s="410">
        <f t="shared" si="16"/>
        <v>1.4610000000000001</v>
      </c>
    </row>
    <row r="67" spans="1:14">
      <c r="A67" s="425" t="s">
        <v>313</v>
      </c>
      <c r="B67" s="401"/>
      <c r="C67" s="6">
        <v>1750.87</v>
      </c>
      <c r="D67" s="6">
        <v>1043.18</v>
      </c>
      <c r="E67" s="409">
        <f t="shared" si="17"/>
        <v>2794.05</v>
      </c>
      <c r="F67" s="409">
        <v>13200</v>
      </c>
      <c r="G67" s="440">
        <f t="shared" si="18"/>
        <v>0.21167045454545455</v>
      </c>
      <c r="H67" s="402"/>
      <c r="J67" s="409">
        <v>183.08</v>
      </c>
      <c r="K67" s="409">
        <f>34.01+69.07</f>
        <v>103.07999999999998</v>
      </c>
      <c r="L67" s="430">
        <f t="shared" si="15"/>
        <v>286.15999999999997</v>
      </c>
      <c r="M67" s="409">
        <v>199</v>
      </c>
      <c r="N67" s="410">
        <f t="shared" si="16"/>
        <v>1.4379899497487436</v>
      </c>
    </row>
    <row r="68" spans="1:14">
      <c r="A68" s="425" t="s">
        <v>314</v>
      </c>
      <c r="B68" s="401"/>
      <c r="C68" s="6">
        <v>1302.72</v>
      </c>
      <c r="D68" s="6">
        <f t="shared" ref="D68:D70" si="19">$D$94*F68</f>
        <v>864.8</v>
      </c>
      <c r="E68" s="409">
        <f t="shared" si="17"/>
        <v>2167.52</v>
      </c>
      <c r="F68" s="409">
        <v>9200</v>
      </c>
      <c r="G68" s="440">
        <f t="shared" si="18"/>
        <v>0.2356</v>
      </c>
      <c r="H68" s="402"/>
      <c r="J68" s="409">
        <v>184.01</v>
      </c>
      <c r="K68" s="409">
        <f>32.91+68.83</f>
        <v>101.74</v>
      </c>
      <c r="L68" s="430">
        <f t="shared" si="15"/>
        <v>285.75</v>
      </c>
      <c r="M68" s="409">
        <v>210</v>
      </c>
      <c r="N68" s="410">
        <f t="shared" ref="N68:N70" si="20">+N67</f>
        <v>1.4379899497487436</v>
      </c>
    </row>
    <row r="69" spans="1:14">
      <c r="A69" s="425" t="s">
        <v>315</v>
      </c>
      <c r="B69" s="401"/>
      <c r="C69" s="6">
        <f t="shared" ref="C69:C70" si="21">$B$94*F69</f>
        <v>1377.6399999999999</v>
      </c>
      <c r="D69" s="6">
        <f t="shared" si="19"/>
        <v>1265.8666666666666</v>
      </c>
      <c r="E69" s="409">
        <f t="shared" si="17"/>
        <v>2643.5066666666662</v>
      </c>
      <c r="F69" s="409">
        <f>+AVERAGE(F52,F35,F18)</f>
        <v>13466.666666666666</v>
      </c>
      <c r="G69" s="440">
        <f t="shared" si="18"/>
        <v>0.19629999999999997</v>
      </c>
      <c r="H69" s="402"/>
      <c r="J69" s="409">
        <f>+M69*$K$94</f>
        <v>188.50713474218085</v>
      </c>
      <c r="K69" s="409">
        <f>+M69*$M$94</f>
        <v>130.81486993519303</v>
      </c>
      <c r="L69" s="430">
        <f t="shared" si="15"/>
        <v>319.32200467737391</v>
      </c>
      <c r="M69" s="409">
        <f>+AVERAGE(M52,M35,M18)</f>
        <v>217.66666666666666</v>
      </c>
      <c r="N69" s="410">
        <f t="shared" si="20"/>
        <v>1.4379899497487436</v>
      </c>
    </row>
    <row r="70" spans="1:14">
      <c r="A70" s="425" t="s">
        <v>321</v>
      </c>
      <c r="B70" s="401"/>
      <c r="C70" s="6">
        <f t="shared" si="21"/>
        <v>1473.1200000000001</v>
      </c>
      <c r="D70" s="6">
        <f t="shared" si="19"/>
        <v>1353.6</v>
      </c>
      <c r="E70" s="409">
        <f t="shared" si="17"/>
        <v>2826.7200000000003</v>
      </c>
      <c r="F70" s="409">
        <f>+AVERAGE(F53,F36,F19)</f>
        <v>14400</v>
      </c>
      <c r="G70" s="440">
        <f t="shared" si="18"/>
        <v>0.19630000000000003</v>
      </c>
      <c r="H70" s="402"/>
      <c r="J70" s="409">
        <f>+M70*$K$94</f>
        <v>216.22028165680467</v>
      </c>
      <c r="K70" s="409">
        <f>+M70*$M$94</f>
        <v>150.04645877712034</v>
      </c>
      <c r="L70" s="430">
        <f t="shared" si="15"/>
        <v>366.26674043392501</v>
      </c>
      <c r="M70" s="409">
        <f>+AVERAGE(M53,M36,M19)</f>
        <v>249.66666666666666</v>
      </c>
      <c r="N70" s="410">
        <f t="shared" si="20"/>
        <v>1.4379899497487436</v>
      </c>
    </row>
    <row r="71" spans="1:14" ht="15.75" thickBot="1">
      <c r="A71" s="425" t="s">
        <v>24</v>
      </c>
      <c r="B71" s="401"/>
      <c r="C71" s="442">
        <f>SUM(C59:C70)</f>
        <v>17831.330000000002</v>
      </c>
      <c r="D71" s="443">
        <f>SUM(D59:D70)</f>
        <v>20933.416666666661</v>
      </c>
      <c r="E71" s="443">
        <f>SUM(E59:E70)</f>
        <v>38764.746666666666</v>
      </c>
      <c r="F71" s="417">
        <f>SUM(F59:F70)</f>
        <v>181666.66666666666</v>
      </c>
      <c r="G71" s="418">
        <f>E71/F71</f>
        <v>0.21338392660550459</v>
      </c>
      <c r="H71" s="402"/>
      <c r="J71" s="416">
        <f>SUM(J59:J70)</f>
        <v>2394.0874163989852</v>
      </c>
      <c r="K71" s="416">
        <f>SUM(K59:K70)</f>
        <v>1661.3813287123132</v>
      </c>
      <c r="L71" s="443">
        <f>SUM(L59:L70)</f>
        <v>4055.4687451112986</v>
      </c>
      <c r="M71" s="417">
        <f>SUM(M59:M70)</f>
        <v>2833.333333333333</v>
      </c>
      <c r="N71" s="419">
        <f>+L71/M71</f>
        <v>1.4313419100392821</v>
      </c>
    </row>
    <row r="72" spans="1:14" ht="15.75" thickTop="1">
      <c r="B72" s="401"/>
      <c r="C72" s="401"/>
      <c r="D72" s="401"/>
      <c r="E72" s="401"/>
      <c r="F72" s="401"/>
      <c r="G72" s="401"/>
      <c r="H72" s="402"/>
      <c r="J72" s="437"/>
      <c r="K72" s="437"/>
      <c r="L72" s="437"/>
      <c r="M72" s="413"/>
      <c r="N72" s="410"/>
    </row>
    <row r="73" spans="1:14">
      <c r="B73" s="401"/>
      <c r="C73" s="401"/>
      <c r="D73" s="401"/>
      <c r="E73" s="401"/>
      <c r="F73" s="401"/>
      <c r="G73" s="401"/>
      <c r="H73" s="402"/>
      <c r="J73" s="437"/>
      <c r="K73" s="437"/>
      <c r="L73" s="437"/>
      <c r="M73" s="413"/>
      <c r="N73" s="410"/>
    </row>
    <row r="74" spans="1:14" ht="15.75">
      <c r="A74" s="438"/>
      <c r="B74" s="401"/>
      <c r="C74" s="603" t="str">
        <f>+$C$6</f>
        <v>Electric-A/C # 42-5037-1493-1111-6 EL9</v>
      </c>
      <c r="D74" s="603"/>
      <c r="E74" s="603"/>
      <c r="F74" s="603"/>
      <c r="G74" s="603"/>
      <c r="H74" s="402"/>
      <c r="J74" s="601" t="s">
        <v>519</v>
      </c>
      <c r="K74" s="601"/>
      <c r="L74" s="601"/>
      <c r="M74" s="601"/>
      <c r="N74" s="601"/>
    </row>
    <row r="75" spans="1:14" ht="15.75">
      <c r="A75" s="444" t="s">
        <v>465</v>
      </c>
      <c r="B75" s="401"/>
      <c r="C75" s="420" t="s">
        <v>391</v>
      </c>
      <c r="D75" s="420" t="s">
        <v>392</v>
      </c>
      <c r="E75" s="420" t="s">
        <v>24</v>
      </c>
      <c r="F75" s="420" t="s">
        <v>307</v>
      </c>
      <c r="G75" s="420" t="s">
        <v>393</v>
      </c>
      <c r="H75" s="439"/>
      <c r="I75" s="422"/>
      <c r="J75" s="420" t="s">
        <v>391</v>
      </c>
      <c r="K75" s="420" t="s">
        <v>392</v>
      </c>
      <c r="L75" s="420" t="s">
        <v>24</v>
      </c>
      <c r="M75" s="423" t="s">
        <v>319</v>
      </c>
      <c r="N75" s="424" t="s">
        <v>394</v>
      </c>
    </row>
    <row r="76" spans="1:14" ht="15.75">
      <c r="A76" s="445" t="s">
        <v>316</v>
      </c>
      <c r="B76" s="408"/>
      <c r="C76" s="323">
        <f>$B$94*F76*(1+E97)</f>
        <v>2095.9223999999999</v>
      </c>
      <c r="D76" s="323">
        <f>$D$94*F76*(1+E97)</f>
        <v>1925.8720000000001</v>
      </c>
      <c r="E76" s="323">
        <f>SUM(C76:D76)</f>
        <v>4021.7943999999998</v>
      </c>
      <c r="F76" s="409">
        <f>+AVERAGE(F59,F42,F25,F8)</f>
        <v>19700</v>
      </c>
      <c r="G76" s="440">
        <f>+E76/F76</f>
        <v>0.204152</v>
      </c>
      <c r="H76" s="402"/>
      <c r="J76" s="323">
        <f>+M76*$K$94*(1+$N$97)</f>
        <v>241.43924534911238</v>
      </c>
      <c r="K76" s="323">
        <f>+M76*$M$94*(1+$N$97)</f>
        <v>167.54720462327418</v>
      </c>
      <c r="L76" s="441">
        <f t="shared" ref="L76:L87" si="22">SUM(J76:K76)</f>
        <v>408.98644997238659</v>
      </c>
      <c r="M76" s="409">
        <f t="shared" ref="M76:M87" si="23">+AVERAGE(M59,M42,M25)</f>
        <v>270.66666666666669</v>
      </c>
      <c r="N76" s="410">
        <f>N54*(1+E97)</f>
        <v>1.3834809756097559</v>
      </c>
    </row>
    <row r="77" spans="1:14" ht="15.75">
      <c r="A77" s="445" t="s">
        <v>308</v>
      </c>
      <c r="B77" s="401"/>
      <c r="C77" s="6">
        <f t="shared" ref="C77:C87" si="24">$B$94*F77*(1+E98)</f>
        <v>2005.08</v>
      </c>
      <c r="D77" s="6">
        <f t="shared" ref="D77:D87" si="25">$D$94*F77*(1+E98)</f>
        <v>1842.4</v>
      </c>
      <c r="E77" s="409">
        <f t="shared" ref="E77:E87" si="26">SUM(C77:D77)</f>
        <v>3847.48</v>
      </c>
      <c r="F77" s="409">
        <f t="shared" ref="F77:F87" si="27">+AVERAGE(F60,F43,F26,F9)</f>
        <v>19600</v>
      </c>
      <c r="G77" s="440">
        <f t="shared" ref="G77:G84" si="28">+E77/F77</f>
        <v>0.1963</v>
      </c>
      <c r="H77" s="402"/>
      <c r="J77" s="409">
        <f t="shared" ref="J77:J87" si="29">+M77*$K$94*(1+$N$97)</f>
        <v>258.09022778698215</v>
      </c>
      <c r="K77" s="409">
        <f t="shared" ref="K77:K87" si="30">+M77*$M$94*(1+$N$97)</f>
        <v>179.10218425246549</v>
      </c>
      <c r="L77" s="430">
        <f t="shared" si="22"/>
        <v>437.19241203944762</v>
      </c>
      <c r="M77" s="409">
        <f t="shared" si="23"/>
        <v>289.33333333333331</v>
      </c>
      <c r="N77" s="410">
        <f>+N76</f>
        <v>1.3834809756097559</v>
      </c>
    </row>
    <row r="78" spans="1:14" ht="15.75">
      <c r="A78" s="445" t="s">
        <v>309</v>
      </c>
      <c r="B78" s="401"/>
      <c r="C78" s="6">
        <f t="shared" si="24"/>
        <v>1667.49</v>
      </c>
      <c r="D78" s="6">
        <f t="shared" si="25"/>
        <v>1532.2</v>
      </c>
      <c r="E78" s="409">
        <f t="shared" si="26"/>
        <v>3199.69</v>
      </c>
      <c r="F78" s="409">
        <f t="shared" si="27"/>
        <v>16300</v>
      </c>
      <c r="G78" s="440">
        <f t="shared" si="28"/>
        <v>0.1963</v>
      </c>
      <c r="H78" s="402"/>
      <c r="J78" s="409">
        <f t="shared" si="29"/>
        <v>237.27649973964492</v>
      </c>
      <c r="K78" s="409">
        <f t="shared" si="30"/>
        <v>164.65845971597633</v>
      </c>
      <c r="L78" s="430">
        <f t="shared" si="22"/>
        <v>401.93495945562125</v>
      </c>
      <c r="M78" s="409">
        <f t="shared" si="23"/>
        <v>266</v>
      </c>
      <c r="N78" s="410">
        <f t="shared" ref="N78:N87" si="31">+N77</f>
        <v>1.3834809756097559</v>
      </c>
    </row>
    <row r="79" spans="1:14" ht="15.75">
      <c r="A79" s="445" t="s">
        <v>310</v>
      </c>
      <c r="B79" s="401"/>
      <c r="C79" s="6">
        <f t="shared" si="24"/>
        <v>1217.3700000000001</v>
      </c>
      <c r="D79" s="6">
        <f t="shared" si="25"/>
        <v>1118.5999999999999</v>
      </c>
      <c r="E79" s="409">
        <f t="shared" si="26"/>
        <v>2335.9700000000003</v>
      </c>
      <c r="F79" s="409">
        <f t="shared" si="27"/>
        <v>11900</v>
      </c>
      <c r="G79" s="440">
        <f t="shared" si="28"/>
        <v>0.19630000000000003</v>
      </c>
      <c r="H79" s="402"/>
      <c r="J79" s="409">
        <f t="shared" si="29"/>
        <v>213.78672094336426</v>
      </c>
      <c r="K79" s="409">
        <f t="shared" si="30"/>
        <v>148.35768488193858</v>
      </c>
      <c r="L79" s="430">
        <f t="shared" si="22"/>
        <v>362.14440582530284</v>
      </c>
      <c r="M79" s="409">
        <f t="shared" si="23"/>
        <v>239.66666666666666</v>
      </c>
      <c r="N79" s="410">
        <f t="shared" si="31"/>
        <v>1.3834809756097559</v>
      </c>
    </row>
    <row r="80" spans="1:14" ht="15.75">
      <c r="A80" s="445" t="s">
        <v>86</v>
      </c>
      <c r="B80" s="401"/>
      <c r="C80" s="6">
        <f t="shared" si="24"/>
        <v>1672.605</v>
      </c>
      <c r="D80" s="6">
        <f t="shared" si="25"/>
        <v>1536.9</v>
      </c>
      <c r="E80" s="409">
        <f t="shared" si="26"/>
        <v>3209.5050000000001</v>
      </c>
      <c r="F80" s="409">
        <f t="shared" si="27"/>
        <v>16350</v>
      </c>
      <c r="G80" s="440">
        <f t="shared" si="28"/>
        <v>0.1963</v>
      </c>
      <c r="H80" s="402"/>
      <c r="J80" s="409">
        <f t="shared" si="29"/>
        <v>201.59582308706675</v>
      </c>
      <c r="K80" s="409">
        <f t="shared" si="30"/>
        <v>139.89778908199492</v>
      </c>
      <c r="L80" s="430">
        <f t="shared" si="22"/>
        <v>341.49361216906163</v>
      </c>
      <c r="M80" s="409">
        <f t="shared" si="23"/>
        <v>226</v>
      </c>
      <c r="N80" s="410">
        <f t="shared" si="31"/>
        <v>1.3834809756097559</v>
      </c>
    </row>
    <row r="81" spans="1:16" ht="15.75">
      <c r="A81" s="445" t="s">
        <v>320</v>
      </c>
      <c r="B81" s="401"/>
      <c r="C81" s="6">
        <f t="shared" si="24"/>
        <v>1657.26</v>
      </c>
      <c r="D81" s="6">
        <f t="shared" si="25"/>
        <v>1522.8</v>
      </c>
      <c r="E81" s="409">
        <f t="shared" si="26"/>
        <v>3180.06</v>
      </c>
      <c r="F81" s="409">
        <f t="shared" si="27"/>
        <v>16200</v>
      </c>
      <c r="G81" s="440">
        <f t="shared" si="28"/>
        <v>0.1963</v>
      </c>
      <c r="H81" s="402"/>
      <c r="J81" s="409">
        <f t="shared" si="29"/>
        <v>178.40338326289091</v>
      </c>
      <c r="K81" s="409">
        <f t="shared" si="30"/>
        <v>123.80335316990703</v>
      </c>
      <c r="L81" s="430">
        <f t="shared" si="22"/>
        <v>302.20673643279792</v>
      </c>
      <c r="M81" s="409">
        <f t="shared" si="23"/>
        <v>200</v>
      </c>
      <c r="N81" s="410">
        <f t="shared" si="31"/>
        <v>1.3834809756097559</v>
      </c>
    </row>
    <row r="82" spans="1:16" ht="15.75">
      <c r="A82" s="445" t="s">
        <v>311</v>
      </c>
      <c r="B82" s="401"/>
      <c r="C82" s="6">
        <f t="shared" si="24"/>
        <v>2230.14</v>
      </c>
      <c r="D82" s="6">
        <f t="shared" si="25"/>
        <v>2049.1999999999998</v>
      </c>
      <c r="E82" s="409">
        <f t="shared" si="26"/>
        <v>4279.34</v>
      </c>
      <c r="F82" s="409">
        <f t="shared" si="27"/>
        <v>21800</v>
      </c>
      <c r="G82" s="440">
        <f t="shared" si="28"/>
        <v>0.1963</v>
      </c>
      <c r="H82" s="402"/>
      <c r="J82" s="409">
        <f t="shared" si="29"/>
        <v>140.64133380557899</v>
      </c>
      <c r="K82" s="409">
        <f t="shared" si="30"/>
        <v>97.598310082276697</v>
      </c>
      <c r="L82" s="430">
        <f t="shared" si="22"/>
        <v>238.23964388785569</v>
      </c>
      <c r="M82" s="409">
        <f t="shared" si="23"/>
        <v>157.66666666666666</v>
      </c>
      <c r="N82" s="410">
        <f t="shared" si="31"/>
        <v>1.3834809756097559</v>
      </c>
    </row>
    <row r="83" spans="1:16" ht="15.75">
      <c r="A83" s="445" t="s">
        <v>312</v>
      </c>
      <c r="B83" s="401"/>
      <c r="C83" s="6">
        <f t="shared" si="24"/>
        <v>1943.7</v>
      </c>
      <c r="D83" s="6">
        <f t="shared" si="25"/>
        <v>1786</v>
      </c>
      <c r="E83" s="409">
        <f t="shared" si="26"/>
        <v>3729.7</v>
      </c>
      <c r="F83" s="409">
        <f t="shared" si="27"/>
        <v>19000</v>
      </c>
      <c r="G83" s="440">
        <f t="shared" si="28"/>
        <v>0.1963</v>
      </c>
      <c r="H83" s="402"/>
      <c r="J83" s="409">
        <f t="shared" si="29"/>
        <v>140.93867277768382</v>
      </c>
      <c r="K83" s="409">
        <f t="shared" si="30"/>
        <v>97.804649004226548</v>
      </c>
      <c r="L83" s="430">
        <f t="shared" si="22"/>
        <v>238.74332178191037</v>
      </c>
      <c r="M83" s="409">
        <f t="shared" si="23"/>
        <v>158</v>
      </c>
      <c r="N83" s="410">
        <f t="shared" si="31"/>
        <v>1.3834809756097559</v>
      </c>
    </row>
    <row r="84" spans="1:16" ht="15.75">
      <c r="A84" s="445" t="s">
        <v>313</v>
      </c>
      <c r="B84" s="401"/>
      <c r="C84" s="6">
        <f t="shared" si="24"/>
        <v>1872.0900000000001</v>
      </c>
      <c r="D84" s="6">
        <f t="shared" si="25"/>
        <v>1720.2</v>
      </c>
      <c r="E84" s="409">
        <f t="shared" si="26"/>
        <v>3592.29</v>
      </c>
      <c r="F84" s="409">
        <f t="shared" si="27"/>
        <v>18300</v>
      </c>
      <c r="G84" s="440">
        <f t="shared" si="28"/>
        <v>0.1963</v>
      </c>
      <c r="H84" s="402"/>
      <c r="J84" s="409">
        <f t="shared" si="29"/>
        <v>160.86038390870667</v>
      </c>
      <c r="K84" s="409">
        <f t="shared" si="30"/>
        <v>111.62935677486618</v>
      </c>
      <c r="L84" s="430">
        <f t="shared" si="22"/>
        <v>272.48974068357285</v>
      </c>
      <c r="M84" s="409">
        <f t="shared" si="23"/>
        <v>180.33333333333334</v>
      </c>
      <c r="N84" s="410">
        <f t="shared" si="31"/>
        <v>1.3834809756097559</v>
      </c>
    </row>
    <row r="85" spans="1:16" ht="15.75">
      <c r="A85" s="445" t="s">
        <v>314</v>
      </c>
      <c r="B85" s="401"/>
      <c r="C85" s="6">
        <f t="shared" si="24"/>
        <v>1381.05</v>
      </c>
      <c r="D85" s="6">
        <f t="shared" si="25"/>
        <v>1269</v>
      </c>
      <c r="E85" s="409">
        <f t="shared" si="26"/>
        <v>2650.05</v>
      </c>
      <c r="F85" s="409">
        <f t="shared" si="27"/>
        <v>13500</v>
      </c>
      <c r="G85" s="440">
        <f t="shared" ref="G85:G87" si="32">+E85/F85</f>
        <v>0.1963</v>
      </c>
      <c r="H85" s="402"/>
      <c r="J85" s="409">
        <f t="shared" si="29"/>
        <v>179.59273915131021</v>
      </c>
      <c r="K85" s="409">
        <f t="shared" si="30"/>
        <v>124.62870885770641</v>
      </c>
      <c r="L85" s="430">
        <f t="shared" si="22"/>
        <v>304.22144800901663</v>
      </c>
      <c r="M85" s="409">
        <f t="shared" si="23"/>
        <v>201.33333333333334</v>
      </c>
      <c r="N85" s="410">
        <f t="shared" si="31"/>
        <v>1.3834809756097559</v>
      </c>
    </row>
    <row r="86" spans="1:16" ht="15.75">
      <c r="A86" s="445" t="s">
        <v>315</v>
      </c>
      <c r="B86" s="401"/>
      <c r="C86" s="6">
        <f t="shared" si="24"/>
        <v>1377.6399999999999</v>
      </c>
      <c r="D86" s="6">
        <f t="shared" si="25"/>
        <v>1265.8666666666666</v>
      </c>
      <c r="E86" s="409">
        <f t="shared" si="26"/>
        <v>2643.5066666666662</v>
      </c>
      <c r="F86" s="409">
        <f t="shared" si="27"/>
        <v>13466.666666666666</v>
      </c>
      <c r="G86" s="440">
        <f t="shared" si="32"/>
        <v>0.19629999999999997</v>
      </c>
      <c r="H86" s="402"/>
      <c r="J86" s="409">
        <f t="shared" si="29"/>
        <v>193.76589682163984</v>
      </c>
      <c r="K86" s="409">
        <f t="shared" si="30"/>
        <v>134.464197470649</v>
      </c>
      <c r="L86" s="430">
        <f t="shared" si="22"/>
        <v>328.23009429228887</v>
      </c>
      <c r="M86" s="409">
        <f t="shared" si="23"/>
        <v>217.2222222222222</v>
      </c>
      <c r="N86" s="410">
        <f t="shared" si="31"/>
        <v>1.3834809756097559</v>
      </c>
    </row>
    <row r="87" spans="1:16" ht="15.75">
      <c r="A87" s="445" t="s">
        <v>321</v>
      </c>
      <c r="B87" s="401"/>
      <c r="C87" s="6">
        <f t="shared" si="24"/>
        <v>1473.1200000000001</v>
      </c>
      <c r="D87" s="6">
        <f t="shared" si="25"/>
        <v>1353.6</v>
      </c>
      <c r="E87" s="409">
        <f t="shared" si="26"/>
        <v>2826.7200000000003</v>
      </c>
      <c r="F87" s="409">
        <f t="shared" si="27"/>
        <v>14400</v>
      </c>
      <c r="G87" s="440">
        <f t="shared" si="32"/>
        <v>0.19630000000000003</v>
      </c>
      <c r="H87" s="402"/>
      <c r="J87" s="409">
        <f t="shared" si="29"/>
        <v>231.52794627895173</v>
      </c>
      <c r="K87" s="409">
        <f t="shared" si="30"/>
        <v>160.66924055827934</v>
      </c>
      <c r="L87" s="430">
        <f t="shared" si="22"/>
        <v>392.19718683723107</v>
      </c>
      <c r="M87" s="409">
        <f t="shared" si="23"/>
        <v>259.55555555555554</v>
      </c>
      <c r="N87" s="410">
        <f t="shared" si="31"/>
        <v>1.3834809756097559</v>
      </c>
    </row>
    <row r="88" spans="1:16" ht="16.5" thickBot="1">
      <c r="A88" s="445" t="s">
        <v>24</v>
      </c>
      <c r="B88" s="401"/>
      <c r="C88" s="442">
        <f>SUM(C76:C87)</f>
        <v>20593.467399999998</v>
      </c>
      <c r="D88" s="443">
        <f>SUM(D76:D87)</f>
        <v>18922.638666666662</v>
      </c>
      <c r="E88" s="443">
        <f>SUM(E76:E87)</f>
        <v>39516.106066666674</v>
      </c>
      <c r="F88" s="417">
        <f>SUM(F76:F87)</f>
        <v>200516.66666666666</v>
      </c>
      <c r="G88" s="418">
        <f>E88/F88</f>
        <v>0.19707142914138481</v>
      </c>
      <c r="H88" s="402"/>
      <c r="J88" s="416">
        <f>SUM(J76:J87)</f>
        <v>2377.9188729129328</v>
      </c>
      <c r="K88" s="416">
        <f>SUM(K76:K87)</f>
        <v>1650.1611384735609</v>
      </c>
      <c r="L88" s="443">
        <f>SUM(L76:L87)</f>
        <v>4028.0800113864934</v>
      </c>
      <c r="M88" s="417">
        <f>SUM(M76:M87)</f>
        <v>2665.7777777777778</v>
      </c>
      <c r="N88" s="419">
        <f>+L88/M88</f>
        <v>1.5110336821639896</v>
      </c>
    </row>
    <row r="89" spans="1:16" ht="16.5" thickTop="1">
      <c r="A89" s="445"/>
      <c r="B89" s="401"/>
      <c r="C89" s="121"/>
      <c r="D89" s="446"/>
      <c r="E89" s="446"/>
      <c r="F89" s="413"/>
      <c r="G89" s="447"/>
      <c r="H89" s="402"/>
      <c r="J89" s="437"/>
      <c r="K89" s="437"/>
      <c r="L89" s="446"/>
      <c r="M89" s="413"/>
      <c r="N89" s="448"/>
    </row>
    <row r="90" spans="1:16" ht="15.75">
      <c r="A90" s="401"/>
      <c r="B90" s="401"/>
      <c r="C90" s="402"/>
      <c r="D90" s="449"/>
      <c r="E90" s="409"/>
      <c r="F90" s="409"/>
      <c r="G90" s="409"/>
      <c r="H90" s="402"/>
    </row>
    <row r="91" spans="1:16" ht="15.75">
      <c r="A91" s="450" t="s">
        <v>466</v>
      </c>
      <c r="J91" s="450" t="s">
        <v>466</v>
      </c>
      <c r="O91" s="6"/>
      <c r="P91" s="6"/>
    </row>
    <row r="92" spans="1:16">
      <c r="A92" s="451" t="s">
        <v>469</v>
      </c>
      <c r="B92" s="452"/>
      <c r="C92" s="452"/>
      <c r="D92" s="452"/>
      <c r="E92" s="453"/>
      <c r="F92" s="453"/>
      <c r="J92" s="451" t="s">
        <v>470</v>
      </c>
      <c r="K92" s="452"/>
      <c r="L92" s="452"/>
      <c r="M92" s="452"/>
      <c r="N92" s="453"/>
      <c r="O92" s="401"/>
      <c r="P92" s="401"/>
    </row>
    <row r="93" spans="1:16" ht="15.75">
      <c r="A93" s="451" t="s">
        <v>471</v>
      </c>
      <c r="B93" s="454"/>
      <c r="C93" s="454"/>
      <c r="D93" s="298"/>
      <c r="E93" s="453"/>
      <c r="F93" s="453"/>
      <c r="J93" s="451" t="s">
        <v>472</v>
      </c>
      <c r="K93" s="454"/>
      <c r="L93" s="454"/>
      <c r="M93" s="298"/>
      <c r="N93" s="453"/>
      <c r="O93" s="401"/>
      <c r="P93" s="401"/>
    </row>
    <row r="94" spans="1:16">
      <c r="A94" s="455" t="s">
        <v>445</v>
      </c>
      <c r="B94" s="456">
        <v>0.1023</v>
      </c>
      <c r="C94" s="455" t="s">
        <v>446</v>
      </c>
      <c r="D94" s="457">
        <v>9.4E-2</v>
      </c>
      <c r="E94" s="453"/>
      <c r="F94" s="453"/>
      <c r="J94" s="455" t="s">
        <v>445</v>
      </c>
      <c r="K94" s="456">
        <f>+SUM(J59:J68)/SUM(M59:M68)*1.03</f>
        <v>0.86603584108199472</v>
      </c>
      <c r="L94" s="455" t="s">
        <v>446</v>
      </c>
      <c r="M94" s="457">
        <f>+SUM(K59:K68)/SUM(M59:M68)*1.03</f>
        <v>0.60098715131022828</v>
      </c>
      <c r="N94" s="453"/>
      <c r="O94" s="401"/>
      <c r="P94" s="401"/>
    </row>
    <row r="95" spans="1:16">
      <c r="A95" s="455"/>
      <c r="B95" s="456"/>
      <c r="C95" s="455"/>
      <c r="D95" s="457"/>
      <c r="E95" s="453"/>
      <c r="F95" s="453"/>
      <c r="J95" s="455"/>
      <c r="K95" s="456"/>
      <c r="L95" s="455"/>
      <c r="M95" s="457"/>
      <c r="N95" s="453"/>
      <c r="O95" s="401"/>
      <c r="P95" s="401"/>
    </row>
    <row r="96" spans="1:16">
      <c r="A96" s="451" t="str">
        <f>+A92</f>
        <v>2015 Electric Usage: Based on average yearly consumption</v>
      </c>
      <c r="B96" s="456"/>
      <c r="C96" s="455"/>
      <c r="D96" s="457"/>
      <c r="E96" s="453"/>
      <c r="F96" s="453"/>
      <c r="J96" s="451" t="str">
        <f>+J92</f>
        <v>2015 Gas Usage: Based on average yearly consumption</v>
      </c>
      <c r="K96" s="456"/>
      <c r="L96" s="455"/>
      <c r="M96" s="457"/>
      <c r="N96" s="453"/>
      <c r="O96" s="401"/>
      <c r="P96" s="401"/>
    </row>
    <row r="97" spans="1:15">
      <c r="A97" s="451" t="s">
        <v>468</v>
      </c>
      <c r="B97" s="451"/>
      <c r="C97" s="451"/>
      <c r="D97" s="452"/>
      <c r="E97" s="458">
        <v>0.04</v>
      </c>
      <c r="J97" s="451" t="s">
        <v>468</v>
      </c>
      <c r="K97" s="451"/>
      <c r="L97" s="451"/>
      <c r="M97" s="452"/>
      <c r="N97" s="458">
        <v>0.03</v>
      </c>
      <c r="O97" s="401"/>
    </row>
    <row r="98" spans="1:15">
      <c r="A98" s="429"/>
      <c r="B98" s="6"/>
      <c r="C98" s="6"/>
      <c r="D98" s="401"/>
      <c r="I98" s="305"/>
      <c r="O98" s="401"/>
    </row>
    <row r="99" spans="1:15">
      <c r="A99" s="411"/>
      <c r="B99" s="6"/>
      <c r="C99" s="6"/>
      <c r="D99" s="401"/>
      <c r="E99" s="459"/>
      <c r="F99" s="459"/>
    </row>
    <row r="100" spans="1:15">
      <c r="B100" s="460"/>
      <c r="C100" s="460"/>
      <c r="D100" s="460"/>
      <c r="F100" s="460"/>
      <c r="G100" s="460" t="s">
        <v>25</v>
      </c>
      <c r="H100" s="460"/>
      <c r="I100" s="460"/>
      <c r="J100" s="460"/>
      <c r="K100" s="460"/>
      <c r="L100" s="460"/>
    </row>
    <row r="101" spans="1:15">
      <c r="C101" s="401"/>
      <c r="D101" s="401"/>
      <c r="E101" s="401"/>
      <c r="F101" s="401"/>
      <c r="H101" s="461"/>
    </row>
    <row r="102" spans="1:15">
      <c r="C102" s="6"/>
      <c r="E102" s="6"/>
      <c r="F102" s="6"/>
      <c r="G102" s="401"/>
      <c r="H102" s="461"/>
    </row>
    <row r="103" spans="1:15">
      <c r="C103" s="6"/>
      <c r="G103" s="459"/>
    </row>
  </sheetData>
  <mergeCells count="10">
    <mergeCell ref="C23:G23"/>
    <mergeCell ref="C6:G6"/>
    <mergeCell ref="C40:G40"/>
    <mergeCell ref="C74:G74"/>
    <mergeCell ref="J6:N6"/>
    <mergeCell ref="J23:N23"/>
    <mergeCell ref="J40:N40"/>
    <mergeCell ref="J74:N74"/>
    <mergeCell ref="C57:G57"/>
    <mergeCell ref="J57:N57"/>
  </mergeCells>
  <phoneticPr fontId="31" type="noConversion"/>
  <printOptions horizontalCentered="1"/>
  <pageMargins left="0" right="0" top="0" bottom="0" header="0.5" footer="0.5"/>
  <pageSetup scale="55" orientation="portrait" r:id="rId1"/>
  <headerFooter alignWithMargins="0"/>
  <ignoredErrors>
    <ignoredError sqref="E52:E53 L52:L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32" baseType="lpstr">
      <vt:lpstr>Upload</vt:lpstr>
      <vt:lpstr>COV</vt:lpstr>
      <vt:lpstr>contents</vt:lpstr>
      <vt:lpstr>budget</vt:lpstr>
      <vt:lpstr>yrlycomp</vt:lpstr>
      <vt:lpstr>income</vt:lpstr>
      <vt:lpstr>Payroll</vt:lpstr>
      <vt:lpstr>Heating</vt:lpstr>
      <vt:lpstr>Electric &amp; Gas</vt:lpstr>
      <vt:lpstr>other Operating</vt:lpstr>
      <vt:lpstr>Other operating 2</vt:lpstr>
      <vt:lpstr>wtrswr-new</vt:lpstr>
      <vt:lpstr>CAP</vt:lpstr>
      <vt:lpstr>EXP-Pie</vt:lpstr>
      <vt:lpstr>BUDGET</vt:lpstr>
      <vt:lpstr>COMP</vt:lpstr>
      <vt:lpstr>contents!CONTENTS</vt:lpstr>
      <vt:lpstr>INCOME</vt:lpstr>
      <vt:lpstr>INS</vt:lpstr>
      <vt:lpstr>budget!Print_Area</vt:lpstr>
      <vt:lpstr>CAP!Print_Area</vt:lpstr>
      <vt:lpstr>contents!Print_Area</vt:lpstr>
      <vt:lpstr>COV!Print_Area</vt:lpstr>
      <vt:lpstr>'Electric &amp; Gas'!Print_Area</vt:lpstr>
      <vt:lpstr>Heating!Print_Area</vt:lpstr>
      <vt:lpstr>income!Print_Area</vt:lpstr>
      <vt:lpstr>'other Operating'!Print_Area</vt:lpstr>
      <vt:lpstr>'Other operating 2'!Print_Area</vt:lpstr>
      <vt:lpstr>Payroll!Print_Area</vt:lpstr>
      <vt:lpstr>'wtrswr-new'!Print_Area</vt:lpstr>
      <vt:lpstr>yrlycomp!Print_Area</vt:lpstr>
      <vt:lpstr>RPRS</vt:lpstr>
    </vt:vector>
  </TitlesOfParts>
  <Company>IESG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AleGri</dc:creator>
  <cp:lastModifiedBy>George</cp:lastModifiedBy>
  <cp:lastPrinted>2014-12-03T23:23:45Z</cp:lastPrinted>
  <dcterms:created xsi:type="dcterms:W3CDTF">2000-10-20T19:28:43Z</dcterms:created>
  <dcterms:modified xsi:type="dcterms:W3CDTF">2016-11-22T17:54:10Z</dcterms:modified>
</cp:coreProperties>
</file>